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4240" windowHeight="11640" activeTab="1"/>
  </bookViews>
  <sheets>
    <sheet name="ALL Level 1-7" sheetId="1" r:id="rId1"/>
    <sheet name="Level 7" sheetId="3" r:id="rId2"/>
  </sheets>
  <externalReferences>
    <externalReference r:id="rId3"/>
  </externalReferences>
  <definedNames>
    <definedName name="_xlnm._FilterDatabase" localSheetId="0" hidden="1">'ALL Level 1-7'!$A$1:$C$2021</definedName>
    <definedName name="_xlnm._FilterDatabase" localSheetId="1" hidden="1">'Level 7'!$B$25:$D$906</definedName>
    <definedName name="Buildings" localSheetId="0">#REF!</definedName>
    <definedName name="Buildings">#REF!</definedName>
    <definedName name="Initative" localSheetId="0">#REF!</definedName>
    <definedName name="Initative">#REF!</definedName>
    <definedName name="Initative_1" localSheetId="0">#REF!</definedName>
    <definedName name="Initative_1">#REF!</definedName>
    <definedName name="Initative_2" localSheetId="0">#REF!</definedName>
    <definedName name="Initative_2">#REF!</definedName>
    <definedName name="Initiative">'[1]4. INITIATIVE'!$A$7:$A$349</definedName>
    <definedName name="Initiatives" localSheetId="0">#REF!</definedName>
    <definedName name="Initiatives">#REF!</definedName>
    <definedName name="Level7">'ALL Level 1-7'!$A$1:$C$1151</definedName>
    <definedName name="Project_Type" localSheetId="0">#REF!</definedName>
    <definedName name="Project_Type">#REF!</definedName>
    <definedName name="Projects">'[1]3. PROJECT'!$A$7:$A$349</definedName>
    <definedName name="ProjectType" localSheetId="0">#REF!</definedName>
    <definedName name="ProjectType">#REF!</definedName>
    <definedName name="Segments">'[1]5. SEGMENT'!$A$7:$A$349</definedName>
    <definedName name="Site">'[1]6. SITE '!$A$4:$A$443</definedName>
    <definedName name="Sites" localSheetId="0">#REF!</definedName>
    <definedName name="Sites">#REF!</definedName>
  </definedNames>
  <calcPr calcId="145621"/>
</workbook>
</file>

<file path=xl/calcChain.xml><?xml version="1.0" encoding="utf-8"?>
<calcChain xmlns="http://schemas.openxmlformats.org/spreadsheetml/2006/main">
  <c r="C845" i="3" l="1"/>
  <c r="C798" i="3"/>
  <c r="C788" i="3"/>
  <c r="C782" i="3"/>
  <c r="C632" i="3"/>
  <c r="C574" i="3"/>
  <c r="C528" i="3"/>
  <c r="C401" i="3"/>
  <c r="C314" i="3"/>
  <c r="C313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7" i="3"/>
  <c r="C796" i="3"/>
  <c r="C795" i="3"/>
  <c r="C794" i="3"/>
  <c r="C793" i="3"/>
  <c r="C792" i="3"/>
  <c r="C791" i="3"/>
  <c r="C790" i="3"/>
  <c r="C789" i="3"/>
  <c r="C787" i="3"/>
  <c r="C786" i="3"/>
  <c r="C785" i="3"/>
  <c r="C784" i="3"/>
  <c r="C783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7" i="3"/>
  <c r="C526" i="3"/>
  <c r="C525" i="3"/>
  <c r="C529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84" i="1"/>
  <c r="B783" i="1"/>
  <c r="B782" i="1"/>
  <c r="B781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19" i="1"/>
  <c r="B720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09" i="1"/>
  <c r="B410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</calcChain>
</file>

<file path=xl/sharedStrings.xml><?xml version="1.0" encoding="utf-8"?>
<sst xmlns="http://schemas.openxmlformats.org/spreadsheetml/2006/main" count="4464" uniqueCount="2386">
  <si>
    <t>ID</t>
  </si>
  <si>
    <t>Short Name</t>
  </si>
  <si>
    <t>BUS Business</t>
  </si>
  <si>
    <t>CMC CUMC CFO</t>
  </si>
  <si>
    <t>CMC CUMC COO</t>
  </si>
  <si>
    <t>CMC CUMC General Operation</t>
  </si>
  <si>
    <t>CMC CUMC EVP</t>
  </si>
  <si>
    <t>CDM General</t>
  </si>
  <si>
    <t>CAD Office of the SEVP</t>
  </si>
  <si>
    <t>FAC Capital Construction</t>
  </si>
  <si>
    <t>FAC Planning</t>
  </si>
  <si>
    <t>FAC Public Safety</t>
  </si>
  <si>
    <t>FAC Real Estate</t>
  </si>
  <si>
    <t>FAC Operations</t>
  </si>
  <si>
    <t>SAS General</t>
  </si>
  <si>
    <t>CHR CU Human Resources</t>
  </si>
  <si>
    <t>SAS EVP</t>
  </si>
  <si>
    <t>CTV General</t>
  </si>
  <si>
    <t>GEU MOT</t>
  </si>
  <si>
    <t>ATH General</t>
  </si>
  <si>
    <t>ATH Physical Education</t>
  </si>
  <si>
    <t>ATH Tennis Center</t>
  </si>
  <si>
    <t>OAD Operations</t>
  </si>
  <si>
    <t>A&amp;S EVP Administration</t>
  </si>
  <si>
    <t>A&amp;S Inst,Ctr&amp;InterdiscPrgm/Lab</t>
  </si>
  <si>
    <t>CCO School General</t>
  </si>
  <si>
    <t>GNS General</t>
  </si>
  <si>
    <t>GSA Administration</t>
  </si>
  <si>
    <t>GSA General</t>
  </si>
  <si>
    <t>GSA Humanities</t>
  </si>
  <si>
    <t>GSA Natural Sciences</t>
  </si>
  <si>
    <t>GSA Social Sciences</t>
  </si>
  <si>
    <t>TAA American Assembly</t>
  </si>
  <si>
    <t>ITA Italian Academy</t>
  </si>
  <si>
    <t>CBH Kraft Center</t>
  </si>
  <si>
    <t>MIL Miller Theatre</t>
  </si>
  <si>
    <t>UNS University Seminars</t>
  </si>
  <si>
    <t>ARH Administration</t>
  </si>
  <si>
    <t>ARH Centers and Laboratories</t>
  </si>
  <si>
    <t>ARH Global Network</t>
  </si>
  <si>
    <t>ARH School General</t>
  </si>
  <si>
    <t>ARH Instruction</t>
  </si>
  <si>
    <t>BUS School Administration</t>
  </si>
  <si>
    <t>ENG Administration</t>
  </si>
  <si>
    <t>ENG Centers</t>
  </si>
  <si>
    <t>ENG General</t>
  </si>
  <si>
    <t>LAW General</t>
  </si>
  <si>
    <t>LAW Law Library</t>
  </si>
  <si>
    <t>IPA General</t>
  </si>
  <si>
    <t>SSW General</t>
  </si>
  <si>
    <t>SSW Social Work Instruction</t>
  </si>
  <si>
    <t>CMC CUMC VP Facilities Mgmt</t>
  </si>
  <si>
    <t>CMC CUMC Development</t>
  </si>
  <si>
    <t>NYP GENERAL</t>
  </si>
  <si>
    <t>P&amp;S General</t>
  </si>
  <si>
    <t>P&amp;S Dean</t>
  </si>
  <si>
    <t>P&amp;S Vice Dean For Admin</t>
  </si>
  <si>
    <t>P&amp;S Vice Dean For Clinical Aff</t>
  </si>
  <si>
    <t>P&amp;S Vice Dean For Education</t>
  </si>
  <si>
    <t>P&amp;S Vice Dean For Acad Affairs</t>
  </si>
  <si>
    <t>P&amp;S Vice Dean For Research</t>
  </si>
  <si>
    <t>P&amp;S Inst of Comparative Medi</t>
  </si>
  <si>
    <t>P&amp;S Alumni Affairs</t>
  </si>
  <si>
    <t>BMB Biochem &amp; MolecBiophysics</t>
  </si>
  <si>
    <t>G&amp;D Genetics &amp; Development</t>
  </si>
  <si>
    <t>MIC Microbiology</t>
  </si>
  <si>
    <t>NSC Neuroscience</t>
  </si>
  <si>
    <t>PHA Pharmacology</t>
  </si>
  <si>
    <t>PHY Physiology</t>
  </si>
  <si>
    <t>DBM DBMI</t>
  </si>
  <si>
    <t>ANE Anesthesiology</t>
  </si>
  <si>
    <t>DRM Dermatology</t>
  </si>
  <si>
    <t>NBD Naomi Berrie Diabetes</t>
  </si>
  <si>
    <t>MED Medicine</t>
  </si>
  <si>
    <t>Emergency Medicine</t>
  </si>
  <si>
    <t>NSU NeuroSurgery</t>
  </si>
  <si>
    <t>NEU Neurology</t>
  </si>
  <si>
    <t>OBG OBGYN</t>
  </si>
  <si>
    <t>OPH Ophthalmology</t>
  </si>
  <si>
    <t>75-32-00X</t>
  </si>
  <si>
    <t>ORT Orthopaedic Surgery</t>
  </si>
  <si>
    <t>75-34-00X</t>
  </si>
  <si>
    <t>REH Rehab &amp; Regenerative Med</t>
  </si>
  <si>
    <t>75-36-00X</t>
  </si>
  <si>
    <t>OTO Otolaryngology</t>
  </si>
  <si>
    <t>75-38-00X</t>
  </si>
  <si>
    <t>PAT Pathology</t>
  </si>
  <si>
    <t>75-40-00X</t>
  </si>
  <si>
    <t>PED Pediatrics</t>
  </si>
  <si>
    <t>75-43-00X</t>
  </si>
  <si>
    <t>PSY Psychiatry</t>
  </si>
  <si>
    <t>75-47-00X</t>
  </si>
  <si>
    <t>RNC Radiation Oncology</t>
  </si>
  <si>
    <t>75-49-00X</t>
  </si>
  <si>
    <t>RAD Radiology</t>
  </si>
  <si>
    <t>75-51-00X</t>
  </si>
  <si>
    <t>SRG Surgery</t>
  </si>
  <si>
    <t>75-53-00X</t>
  </si>
  <si>
    <t>URO Urology</t>
  </si>
  <si>
    <t>75-60-00X</t>
  </si>
  <si>
    <t>FPO Faculty Practice Org</t>
  </si>
  <si>
    <t>75-95-00X</t>
  </si>
  <si>
    <t>NJC NJ Corp</t>
  </si>
  <si>
    <t>75-71-00X</t>
  </si>
  <si>
    <t>HIC HICCC</t>
  </si>
  <si>
    <t>75-73-00X</t>
  </si>
  <si>
    <t>FCM Ctr for Family &amp; Comm Med</t>
  </si>
  <si>
    <t>75-74-00X</t>
  </si>
  <si>
    <t>JSB C2B2</t>
  </si>
  <si>
    <t>75-75-00X</t>
  </si>
  <si>
    <t>ICG</t>
  </si>
  <si>
    <t>75-76-00X</t>
  </si>
  <si>
    <t>IHN Inst for Human Nutrition</t>
  </si>
  <si>
    <t>75-77-00X</t>
  </si>
  <si>
    <t>ICR Irving Institute</t>
  </si>
  <si>
    <t>75-78-00X</t>
  </si>
  <si>
    <t>MAP Medicine as Prof</t>
  </si>
  <si>
    <t>75-79-00X</t>
  </si>
  <si>
    <t>CRR Ctr for Radiological Rsch</t>
  </si>
  <si>
    <t>75-80-00X</t>
  </si>
  <si>
    <t>CSM Society and Medicine</t>
  </si>
  <si>
    <t>75-81-00X</t>
  </si>
  <si>
    <t>TBI Taub Institute</t>
  </si>
  <si>
    <t>75-82-00X</t>
  </si>
  <si>
    <t>SGV Sergievsky Center</t>
  </si>
  <si>
    <t>75-16-00X</t>
  </si>
  <si>
    <t>HLM Harlem Hospital</t>
  </si>
  <si>
    <t>79-20-00X</t>
  </si>
  <si>
    <t>CDM Dental Medicine</t>
  </si>
  <si>
    <t>79-02-00X</t>
  </si>
  <si>
    <t>CDM Dean's Office</t>
  </si>
  <si>
    <t>79-03-00X</t>
  </si>
  <si>
    <t>CDM Education Admin</t>
  </si>
  <si>
    <t>79-04-00X</t>
  </si>
  <si>
    <t>CDM Information Technology</t>
  </si>
  <si>
    <t>79-10-00X</t>
  </si>
  <si>
    <t>CDM Faculty Practice</t>
  </si>
  <si>
    <t>79-12-00X</t>
  </si>
  <si>
    <t>CDM Community Dent Care</t>
  </si>
  <si>
    <t>79-13-00X</t>
  </si>
  <si>
    <t>CDM Clinic</t>
  </si>
  <si>
    <t>79-01-00X</t>
  </si>
  <si>
    <t>80-02-00X</t>
  </si>
  <si>
    <t>NUR Dean's Office</t>
  </si>
  <si>
    <t>80-03-00X</t>
  </si>
  <si>
    <t>NUR Div of Finance &amp; Admin</t>
  </si>
  <si>
    <t>80-04-00X</t>
  </si>
  <si>
    <t>NUR Div of Student Affairs</t>
  </si>
  <si>
    <t>80-05-00X</t>
  </si>
  <si>
    <t>NUR Div of External Affairs</t>
  </si>
  <si>
    <t>80-30-00X</t>
  </si>
  <si>
    <t>NUR Div of Clinical Practice</t>
  </si>
  <si>
    <t>80-01-00X</t>
  </si>
  <si>
    <t>NUR Div of Nursing General</t>
  </si>
  <si>
    <t>80-10-00X</t>
  </si>
  <si>
    <t>NUR Div of Academics</t>
  </si>
  <si>
    <t>80-20-00X</t>
  </si>
  <si>
    <t>NUR Div of Scholarship &amp; Rsch</t>
  </si>
  <si>
    <t>82-01-00X</t>
  </si>
  <si>
    <t>MDM MSPH Admin</t>
  </si>
  <si>
    <t>82-30-00X</t>
  </si>
  <si>
    <t>CCP Nat'l Ctr Children&amp;Poverty</t>
  </si>
  <si>
    <t>82-31-00X</t>
  </si>
  <si>
    <t>ICP ICAP</t>
  </si>
  <si>
    <t>82-32-00X</t>
  </si>
  <si>
    <t>CDP Nat'l Ctr Disaster Prep</t>
  </si>
  <si>
    <t>82-33-00X</t>
  </si>
  <si>
    <t>CII Ctr Infection &amp; Immunity</t>
  </si>
  <si>
    <t>82-34-00X</t>
  </si>
  <si>
    <t>ILC Int'l Longevity Center</t>
  </si>
  <si>
    <t>82-10-00X</t>
  </si>
  <si>
    <t>BST Biostatistics</t>
  </si>
  <si>
    <t>82-11-00X</t>
  </si>
  <si>
    <t>EHS Environment Health Science</t>
  </si>
  <si>
    <t>82-12-00X</t>
  </si>
  <si>
    <t>EPI Epidemiology</t>
  </si>
  <si>
    <t>82-13-00X</t>
  </si>
  <si>
    <t>HPM Health Policy &amp; Management</t>
  </si>
  <si>
    <t>82-14-00X</t>
  </si>
  <si>
    <t>PFH HDPFH</t>
  </si>
  <si>
    <t>82-15-00X</t>
  </si>
  <si>
    <t>SMS Sociomedical Science</t>
  </si>
  <si>
    <t>10-10-00X</t>
  </si>
  <si>
    <t>ENV Environmental Stewardship</t>
  </si>
  <si>
    <t>10-02-00X</t>
  </si>
  <si>
    <t>12-08-00X</t>
  </si>
  <si>
    <t>12-03-00X</t>
  </si>
  <si>
    <t>FAC Finance And Admin</t>
  </si>
  <si>
    <t>12-04-00X</t>
  </si>
  <si>
    <t>12-06-00X</t>
  </si>
  <si>
    <t>12-07-00X</t>
  </si>
  <si>
    <t>12-05-00X</t>
  </si>
  <si>
    <t>12-01-00X</t>
  </si>
  <si>
    <t>FAC Capital Projects</t>
  </si>
  <si>
    <t>12-02-00X</t>
  </si>
  <si>
    <t>FAC EVP Facilities</t>
  </si>
  <si>
    <t>14-02-00X</t>
  </si>
  <si>
    <t>FIN EVP of Finance</t>
  </si>
  <si>
    <t>14-03-00X</t>
  </si>
  <si>
    <t>FHR Finance Human Resources</t>
  </si>
  <si>
    <t>14-04-00X</t>
  </si>
  <si>
    <t>FIN Finance Service Management</t>
  </si>
  <si>
    <t>14-10-00X</t>
  </si>
  <si>
    <t>IAD Internal Audit</t>
  </si>
  <si>
    <t>14-11-00X</t>
  </si>
  <si>
    <t>PRC Procurement Svcs</t>
  </si>
  <si>
    <t>14-12-00X</t>
  </si>
  <si>
    <t>TRE Treasury</t>
  </si>
  <si>
    <t>14-14-00X</t>
  </si>
  <si>
    <t>OTC Controller</t>
  </si>
  <si>
    <t>14-16-00X</t>
  </si>
  <si>
    <t>IMC Columbia Investment Mgt Co</t>
  </si>
  <si>
    <t>14-18-00X</t>
  </si>
  <si>
    <t>OMB Office of Mgmt and Budget</t>
  </si>
  <si>
    <t>16-20-00X</t>
  </si>
  <si>
    <t>CSV Undergraduate Housing</t>
  </si>
  <si>
    <t>16-21-00X</t>
  </si>
  <si>
    <t>CSV Dining</t>
  </si>
  <si>
    <t>16-22-00X</t>
  </si>
  <si>
    <t>CSV Administrative Services</t>
  </si>
  <si>
    <t>16-25-00X</t>
  </si>
  <si>
    <t>CSV Columbia Health</t>
  </si>
  <si>
    <t>16-27-00X</t>
  </si>
  <si>
    <t>CSV Lerner Hall &amp; Contr Srvcs</t>
  </si>
  <si>
    <t>16-28-00X</t>
  </si>
  <si>
    <t>CSV Univ  Event Mgmt</t>
  </si>
  <si>
    <t>16-30-00X</t>
  </si>
  <si>
    <t>CSV Campus Services Operations</t>
  </si>
  <si>
    <t>16-01-00X</t>
  </si>
  <si>
    <t>16-06-00X</t>
  </si>
  <si>
    <t>16-10-00X</t>
  </si>
  <si>
    <t>CIT VP Information Tech</t>
  </si>
  <si>
    <t>16-11-00X</t>
  </si>
  <si>
    <t>CIT Sec/Identity/Access Mgmt</t>
  </si>
  <si>
    <t>16-12-00X</t>
  </si>
  <si>
    <t>CIT Technology Infrastructure</t>
  </si>
  <si>
    <t>16-13-00X</t>
  </si>
  <si>
    <t>CIT Enterprise Systems</t>
  </si>
  <si>
    <t>16-14-00X</t>
  </si>
  <si>
    <t>CIT IT Business Services</t>
  </si>
  <si>
    <t>16-15-00X</t>
  </si>
  <si>
    <t>CIT IT Program &amp; Service Mgmt</t>
  </si>
  <si>
    <t>16-35-00X</t>
  </si>
  <si>
    <t>RFS Administration</t>
  </si>
  <si>
    <t>16-36-00X</t>
  </si>
  <si>
    <t>RFS Stud Finl Svcs</t>
  </si>
  <si>
    <t>16-40-00X</t>
  </si>
  <si>
    <t>RFS Registrar</t>
  </si>
  <si>
    <t>16-02-00X</t>
  </si>
  <si>
    <t>18-02-00X</t>
  </si>
  <si>
    <t>CTV VP's Office</t>
  </si>
  <si>
    <t>18-03-00X</t>
  </si>
  <si>
    <t>CTV Finance &amp; Administration</t>
  </si>
  <si>
    <t>18-04-00X</t>
  </si>
  <si>
    <t>CTV Operations</t>
  </si>
  <si>
    <t>18-05-00X</t>
  </si>
  <si>
    <t>CTV Information Technology</t>
  </si>
  <si>
    <t>18-10-00X</t>
  </si>
  <si>
    <t>CTV Licensing Officers</t>
  </si>
  <si>
    <t>18-01-00X</t>
  </si>
  <si>
    <t>18-12-00X</t>
  </si>
  <si>
    <t>CTV Tech Source CUMC</t>
  </si>
  <si>
    <t>18-14-00X</t>
  </si>
  <si>
    <t>CTV Tech Source MS</t>
  </si>
  <si>
    <t>18-16-00X</t>
  </si>
  <si>
    <t>CTV Tech Source CUMC/MS</t>
  </si>
  <si>
    <t>25-80-00X</t>
  </si>
  <si>
    <t>GEU EXC Admin</t>
  </si>
  <si>
    <t>25-81-00X</t>
  </si>
  <si>
    <t>GEU EXC Academic</t>
  </si>
  <si>
    <t>25-02-00X</t>
  </si>
  <si>
    <t>GEU OMB</t>
  </si>
  <si>
    <t>25-10-00X</t>
  </si>
  <si>
    <t>GEU OTC</t>
  </si>
  <si>
    <t>25-14-00X</t>
  </si>
  <si>
    <t>GEU PRC</t>
  </si>
  <si>
    <t>25-16-00X</t>
  </si>
  <si>
    <t>GEU TRE</t>
  </si>
  <si>
    <t>25-50-00X</t>
  </si>
  <si>
    <t>GEU SFS</t>
  </si>
  <si>
    <t>25-54-00X</t>
  </si>
  <si>
    <t>GEU FBE</t>
  </si>
  <si>
    <t>25-60-00X</t>
  </si>
  <si>
    <t>GEU OAD</t>
  </si>
  <si>
    <t>25-64-00X</t>
  </si>
  <si>
    <t>GEU FAC</t>
  </si>
  <si>
    <t>25-01-00X</t>
  </si>
  <si>
    <t>01-02-00X</t>
  </si>
  <si>
    <t>PRE President</t>
  </si>
  <si>
    <t>01-03-00X</t>
  </si>
  <si>
    <t>COM Comm &amp; Public Affairs</t>
  </si>
  <si>
    <t>01-04-00X</t>
  </si>
  <si>
    <t>UPE Programs &amp; Events</t>
  </si>
  <si>
    <t>01-05-00X</t>
  </si>
  <si>
    <t>BDS Ombuds</t>
  </si>
  <si>
    <t>01-06-00X</t>
  </si>
  <si>
    <t>TRU Trustees</t>
  </si>
  <si>
    <t>01-07-00X</t>
  </si>
  <si>
    <t>SEC Secretary</t>
  </si>
  <si>
    <t>01-08-00X</t>
  </si>
  <si>
    <t>OGC Office of General Counsel</t>
  </si>
  <si>
    <t>01-09-00X</t>
  </si>
  <si>
    <t>GOV Gov't &amp; Community Affairs</t>
  </si>
  <si>
    <t>01-10-00X</t>
  </si>
  <si>
    <t>GCM Global Commons</t>
  </si>
  <si>
    <t>01-12-00X</t>
  </si>
  <si>
    <t>CGC Office Global Initiatives</t>
  </si>
  <si>
    <t>01-14-00X</t>
  </si>
  <si>
    <t>OPE President Emeritus</t>
  </si>
  <si>
    <t>05-02-00X</t>
  </si>
  <si>
    <t>ATH Admin Rollup</t>
  </si>
  <si>
    <t>05-10-00X</t>
  </si>
  <si>
    <t>ATH Sports Programs</t>
  </si>
  <si>
    <t>05-01-00X</t>
  </si>
  <si>
    <t>05-03-00X</t>
  </si>
  <si>
    <t>05-11-00X</t>
  </si>
  <si>
    <t>07-01-00X</t>
  </si>
  <si>
    <t>OAD General</t>
  </si>
  <si>
    <t>07-02-00X</t>
  </si>
  <si>
    <t>Alumni &amp; Development</t>
  </si>
  <si>
    <t>07-03-00X</t>
  </si>
  <si>
    <t>07-04-00X</t>
  </si>
  <si>
    <t>07-05-00X</t>
  </si>
  <si>
    <t>07-06-00X</t>
  </si>
  <si>
    <t>09-02-00X</t>
  </si>
  <si>
    <t>RES Core Operations</t>
  </si>
  <si>
    <t>09-10-00X</t>
  </si>
  <si>
    <t>RES Clinical Trials Office</t>
  </si>
  <si>
    <t>09-11-00X</t>
  </si>
  <si>
    <t>RES Environ Hlth &amp; Safety Off</t>
  </si>
  <si>
    <t>09-12-00X</t>
  </si>
  <si>
    <t>RES Institutional Review Board</t>
  </si>
  <si>
    <t>09-13-00X</t>
  </si>
  <si>
    <t>RES Inst Animal Care &amp;Use Comm</t>
  </si>
  <si>
    <t>09-14-00X</t>
  </si>
  <si>
    <t>RES Office of Postdoc Affairs</t>
  </si>
  <si>
    <t>09-15-00X</t>
  </si>
  <si>
    <t>RES Off Rsch Training &amp; Compl</t>
  </si>
  <si>
    <t>09-16-00X</t>
  </si>
  <si>
    <t>RES Radiation Safety Office</t>
  </si>
  <si>
    <t>09-17-00X</t>
  </si>
  <si>
    <t>RES Research Compliance</t>
  </si>
  <si>
    <t>09-18-00X</t>
  </si>
  <si>
    <t>RES Sponsored Projects Admin</t>
  </si>
  <si>
    <t>20-01-00X</t>
  </si>
  <si>
    <t>PRV Provost General</t>
  </si>
  <si>
    <t>20-02-00X</t>
  </si>
  <si>
    <t>PRV Provost Office</t>
  </si>
  <si>
    <t>20-03-00X</t>
  </si>
  <si>
    <t>PRV Prov Planning &amp; Inst Rsch</t>
  </si>
  <si>
    <t>20-04-00X</t>
  </si>
  <si>
    <t>PRV Prov Off of Acad Planning</t>
  </si>
  <si>
    <t>20-05-00X</t>
  </si>
  <si>
    <t>PRV Prov Off of Acad Admin</t>
  </si>
  <si>
    <t>20-10-00X</t>
  </si>
  <si>
    <t>PRV Earl Hall</t>
  </si>
  <si>
    <t>20-60-00X</t>
  </si>
  <si>
    <t>PRV K-8 School</t>
  </si>
  <si>
    <t>20-62-00X</t>
  </si>
  <si>
    <t>PRV Columbia Scholastic Press</t>
  </si>
  <si>
    <t>20-64-00X</t>
  </si>
  <si>
    <t>PRV Tompkins Hall Nursery</t>
  </si>
  <si>
    <t>20-68-00X</t>
  </si>
  <si>
    <t>PRV Miller Theatre</t>
  </si>
  <si>
    <t>20-70-00X</t>
  </si>
  <si>
    <t>PRV Public Awards &amp; Lectures</t>
  </si>
  <si>
    <t>20-72-00X</t>
  </si>
  <si>
    <t>PRV University Senate</t>
  </si>
  <si>
    <t>22-02-00X</t>
  </si>
  <si>
    <t>LIB Bibliographic Svc &amp; Col De</t>
  </si>
  <si>
    <t>22-03-00X</t>
  </si>
  <si>
    <t>LIB Collections and Services</t>
  </si>
  <si>
    <t>22-05-00X</t>
  </si>
  <si>
    <t>LIB University Librarian</t>
  </si>
  <si>
    <t>22-06-00X</t>
  </si>
  <si>
    <t>LIB Digital Prgms &amp; Tech Srvcs</t>
  </si>
  <si>
    <t>22-07-00X</t>
  </si>
  <si>
    <t>LIB Acquisitions</t>
  </si>
  <si>
    <t>22-09-00X</t>
  </si>
  <si>
    <t>LIB Ctr for New Media Teaching</t>
  </si>
  <si>
    <t>40-01-00X</t>
  </si>
  <si>
    <t>A&amp;S Core General</t>
  </si>
  <si>
    <t>40-20-00X</t>
  </si>
  <si>
    <t>A&amp;S Art History &amp; Archaeology</t>
  </si>
  <si>
    <t>40-21-00X</t>
  </si>
  <si>
    <t>A&amp;S East Asian Lang &amp; Culture</t>
  </si>
  <si>
    <t>40-22-00X</t>
  </si>
  <si>
    <t>A&amp;S English &amp; Comparative Lit</t>
  </si>
  <si>
    <t>40-23-00X</t>
  </si>
  <si>
    <t>A&amp;S French &amp; Romance Philology</t>
  </si>
  <si>
    <t>40-24-00X</t>
  </si>
  <si>
    <t>A&amp;S Germanic Languages</t>
  </si>
  <si>
    <t>40-25-00X</t>
  </si>
  <si>
    <t>A&amp;S Classics</t>
  </si>
  <si>
    <t>40-26-00X</t>
  </si>
  <si>
    <t>A&amp;S Italian</t>
  </si>
  <si>
    <t>40-27-00X</t>
  </si>
  <si>
    <t>A&amp;S MESAAS</t>
  </si>
  <si>
    <t>40-28-00X</t>
  </si>
  <si>
    <t>A&amp;S Music</t>
  </si>
  <si>
    <t>40-29-00X</t>
  </si>
  <si>
    <t>A&amp;S Philosophy</t>
  </si>
  <si>
    <t>40-30-00X</t>
  </si>
  <si>
    <t>A&amp;S Religion</t>
  </si>
  <si>
    <t>40-31-00X</t>
  </si>
  <si>
    <t>A&amp;S Slavic Languages</t>
  </si>
  <si>
    <t>40-32-00X</t>
  </si>
  <si>
    <t>A&amp;S LAIC</t>
  </si>
  <si>
    <t>40-40-00X</t>
  </si>
  <si>
    <t>A&amp;S Astronomy</t>
  </si>
  <si>
    <t>40-41-00X</t>
  </si>
  <si>
    <t>A&amp;S Biological Sciences</t>
  </si>
  <si>
    <t>40-42-00X</t>
  </si>
  <si>
    <t>A&amp;S Chemistry</t>
  </si>
  <si>
    <t>40-43-00X</t>
  </si>
  <si>
    <t>A&amp;S Earth &amp; Environ Sci</t>
  </si>
  <si>
    <t>40-44-00X</t>
  </si>
  <si>
    <t>A&amp;S E3B</t>
  </si>
  <si>
    <t>40-45-00X</t>
  </si>
  <si>
    <t>A&amp;S Statistics</t>
  </si>
  <si>
    <t>40-46-00X</t>
  </si>
  <si>
    <t>A&amp;S Mathematics</t>
  </si>
  <si>
    <t>40-47-00X</t>
  </si>
  <si>
    <t>A&amp;S Physics</t>
  </si>
  <si>
    <t>40-48-00X</t>
  </si>
  <si>
    <t>A&amp;S Psychology</t>
  </si>
  <si>
    <t>40-10-00X</t>
  </si>
  <si>
    <t>A&amp;S Anthropology</t>
  </si>
  <si>
    <t>40-11-00X</t>
  </si>
  <si>
    <t>A&amp;S Economics</t>
  </si>
  <si>
    <t>40-12-00X</t>
  </si>
  <si>
    <t>A&amp;S History</t>
  </si>
  <si>
    <t>40-13-00X</t>
  </si>
  <si>
    <t>A&amp;S Political Science</t>
  </si>
  <si>
    <t>40-14-00X</t>
  </si>
  <si>
    <t>A&amp;S Sociology</t>
  </si>
  <si>
    <t>40-02-00X</t>
  </si>
  <si>
    <t>41-30-00X</t>
  </si>
  <si>
    <t>A&amp;S SOF</t>
  </si>
  <si>
    <t>41-31-00X</t>
  </si>
  <si>
    <t>A&amp;S CSER</t>
  </si>
  <si>
    <t>41-32-00X</t>
  </si>
  <si>
    <t>A&amp;S Ctr for American Studies</t>
  </si>
  <si>
    <t>41-33-00X</t>
  </si>
  <si>
    <t>A&amp;S Jazz Studies</t>
  </si>
  <si>
    <t>41-34-00X</t>
  </si>
  <si>
    <t>A&amp;S Center for Iranian Studies</t>
  </si>
  <si>
    <t>41-35-00X</t>
  </si>
  <si>
    <t>A&amp;S Heyman Center</t>
  </si>
  <si>
    <t>41-36-00X</t>
  </si>
  <si>
    <t>A&amp;S Language Resource Center</t>
  </si>
  <si>
    <t>41-37-00X</t>
  </si>
  <si>
    <t>A&amp;S CEES</t>
  </si>
  <si>
    <t>41-38-00X</t>
  </si>
  <si>
    <t>A&amp;S Ctr Capitalism &amp; Society</t>
  </si>
  <si>
    <t>41-39-00X</t>
  </si>
  <si>
    <t>A&amp;S Center for Archaeology</t>
  </si>
  <si>
    <t>41-40-00X</t>
  </si>
  <si>
    <t>A&amp;S CAM</t>
  </si>
  <si>
    <t>41-41-00X</t>
  </si>
  <si>
    <t>A&amp;S Ctr for Science &amp; Religion</t>
  </si>
  <si>
    <t>41-42-00X</t>
  </si>
  <si>
    <t>A&amp;S Social Sci Computing Ctr</t>
  </si>
  <si>
    <t>41-43-00X</t>
  </si>
  <si>
    <t>A&amp;S Casa Muraro</t>
  </si>
  <si>
    <t>41-01-00X</t>
  </si>
  <si>
    <t>41-02-00X</t>
  </si>
  <si>
    <t>A&amp;S IRAAS</t>
  </si>
  <si>
    <t>41-03-00X</t>
  </si>
  <si>
    <t>A&amp;S IRWAG</t>
  </si>
  <si>
    <t>41-04-00X</t>
  </si>
  <si>
    <t>A&amp;S Inst Comparative Lit &amp; Soc</t>
  </si>
  <si>
    <t>41-05-00X</t>
  </si>
  <si>
    <t>A&amp;S Inst Israel&amp;Jewish Studies</t>
  </si>
  <si>
    <t>41-06-00X</t>
  </si>
  <si>
    <t>A&amp;S ISERP</t>
  </si>
  <si>
    <t>41-07-00X</t>
  </si>
  <si>
    <t>A&amp;S ISHR</t>
  </si>
  <si>
    <t>41-08-00X</t>
  </si>
  <si>
    <t>A&amp;S Inst of African Studies</t>
  </si>
  <si>
    <t>41-09-00X</t>
  </si>
  <si>
    <t>A&amp;S Weatherhead E Asian Inst</t>
  </si>
  <si>
    <t>41-10-00X</t>
  </si>
  <si>
    <t>A&amp;S South Asian Inst (SAI)</t>
  </si>
  <si>
    <t>41-11-00X</t>
  </si>
  <si>
    <t>A&amp;S Blinken European Inst(BEI)</t>
  </si>
  <si>
    <t>41-12-00X</t>
  </si>
  <si>
    <t>A&amp;S Inst Latin America Studies</t>
  </si>
  <si>
    <t>41-13-00X</t>
  </si>
  <si>
    <t>A&amp;S Middle East Inst (MEI)</t>
  </si>
  <si>
    <t>41-14-00X</t>
  </si>
  <si>
    <t>A&amp;S Harriman Institute</t>
  </si>
  <si>
    <t>41-15-00X</t>
  </si>
  <si>
    <t>A&amp;S East Central European Ctr</t>
  </si>
  <si>
    <t>41-16-00X</t>
  </si>
  <si>
    <t>A&amp;S Lazersfeld Center</t>
  </si>
  <si>
    <t>41-73-00X</t>
  </si>
  <si>
    <t>A&amp;S CAME</t>
  </si>
  <si>
    <t>41-74-00X</t>
  </si>
  <si>
    <t>A&amp;S Liberal Studies Mstrs Prgm</t>
  </si>
  <si>
    <t>41-75-00X</t>
  </si>
  <si>
    <t>A&amp;S Classical Studies</t>
  </si>
  <si>
    <t>41-76-00X</t>
  </si>
  <si>
    <t>A&amp;S Medieval &amp; Renaiass Prgm</t>
  </si>
  <si>
    <t>41-77-00X</t>
  </si>
  <si>
    <t>A&amp;S Council European Studies</t>
  </si>
  <si>
    <t>41-78-00X</t>
  </si>
  <si>
    <t>A&amp;S Wallach Art Gallery</t>
  </si>
  <si>
    <t>41-79-00X</t>
  </si>
  <si>
    <t>A&amp;S Committee Global Thought</t>
  </si>
  <si>
    <t>41-80-00X</t>
  </si>
  <si>
    <t>A&amp;S Office of Global Prgms</t>
  </si>
  <si>
    <t>41-65-00X</t>
  </si>
  <si>
    <t>A&amp;S Nevis Laboratories</t>
  </si>
  <si>
    <t>41-66-00X</t>
  </si>
  <si>
    <t>A&amp;S Columbia Astrophysics Lab</t>
  </si>
  <si>
    <t>41-67-00X</t>
  </si>
  <si>
    <t>A&amp;S CISE</t>
  </si>
  <si>
    <t>44-02-00X</t>
  </si>
  <si>
    <t>SOA School Administration</t>
  </si>
  <si>
    <t>44-60-00X</t>
  </si>
  <si>
    <t>SOA LeRoy Neiman Ctr Prnt Stud</t>
  </si>
  <si>
    <t>44-01-00X</t>
  </si>
  <si>
    <t>SOA School General</t>
  </si>
  <si>
    <t>44-10-00X</t>
  </si>
  <si>
    <t>SOA Arts</t>
  </si>
  <si>
    <t>45-02-00X</t>
  </si>
  <si>
    <t>CCO Planning Administration</t>
  </si>
  <si>
    <t>45-60-00X</t>
  </si>
  <si>
    <t>CCO Student Affairs</t>
  </si>
  <si>
    <t>45-61-00X</t>
  </si>
  <si>
    <t>CCO Center for Career Educ</t>
  </si>
  <si>
    <t>45-62-00X</t>
  </si>
  <si>
    <t>CCO CCAAD</t>
  </si>
  <si>
    <t>45-63-00X</t>
  </si>
  <si>
    <t>CCO Office of Global Programs</t>
  </si>
  <si>
    <t>45-64-00X</t>
  </si>
  <si>
    <t>CCO Academic Affairs</t>
  </si>
  <si>
    <t>45-65-00X</t>
  </si>
  <si>
    <t>CCO Double Discovery Center</t>
  </si>
  <si>
    <t>45-01-00X</t>
  </si>
  <si>
    <t>46-02-00X</t>
  </si>
  <si>
    <t>SCE School Administration</t>
  </si>
  <si>
    <t>46-10-00X</t>
  </si>
  <si>
    <t>SCE Continuing Education</t>
  </si>
  <si>
    <t>46-11-00X</t>
  </si>
  <si>
    <t>46-12-00X</t>
  </si>
  <si>
    <t>47-02-00X</t>
  </si>
  <si>
    <t>GNS Dean's Office &amp; Admin</t>
  </si>
  <si>
    <t>47-03-00X</t>
  </si>
  <si>
    <t>GNS Enrollment Management</t>
  </si>
  <si>
    <t>47-10-00X</t>
  </si>
  <si>
    <t>GNS Student Affairs</t>
  </si>
  <si>
    <t>47-01-00X</t>
  </si>
  <si>
    <t>48-02-00X</t>
  </si>
  <si>
    <t>48-60-00X</t>
  </si>
  <si>
    <t>GSA ICLS</t>
  </si>
  <si>
    <t>48-61-00X</t>
  </si>
  <si>
    <t>GSA Inst Israel&amp;Jewish Studies</t>
  </si>
  <si>
    <t>48-62-00X</t>
  </si>
  <si>
    <t>GSA IRAAS</t>
  </si>
  <si>
    <t>48-63-00X</t>
  </si>
  <si>
    <t>GSA IRWAG</t>
  </si>
  <si>
    <t>48-64-00X</t>
  </si>
  <si>
    <t>GSA ISERP</t>
  </si>
  <si>
    <t>48-65-00X</t>
  </si>
  <si>
    <t>GSA Ctr for American Studies</t>
  </si>
  <si>
    <t>48-66-00X</t>
  </si>
  <si>
    <t>GSA Ctr for Climate Systm Rsch</t>
  </si>
  <si>
    <t>48-67-00X</t>
  </si>
  <si>
    <t>GSA Ctr on Ethnicity and Race</t>
  </si>
  <si>
    <t>48-68-00X</t>
  </si>
  <si>
    <t>GSA CISE</t>
  </si>
  <si>
    <t>48-69-00X</t>
  </si>
  <si>
    <t>GSA Ctr for Jazz Studies</t>
  </si>
  <si>
    <t>48-70-00X</t>
  </si>
  <si>
    <t>GSA Astrophysics Lab (CAL)</t>
  </si>
  <si>
    <t>48-71-00X</t>
  </si>
  <si>
    <t>GSA Nevis Labs (Nevis)</t>
  </si>
  <si>
    <t>48-72-00X</t>
  </si>
  <si>
    <t>GSA Classical Studies (CLST)</t>
  </si>
  <si>
    <t>48-73-00X</t>
  </si>
  <si>
    <t>GSA Core</t>
  </si>
  <si>
    <t>48-74-00X</t>
  </si>
  <si>
    <t>GSA Earth Institute (EI)</t>
  </si>
  <si>
    <t>48-75-00X</t>
  </si>
  <si>
    <t>GSA LDEO</t>
  </si>
  <si>
    <t>48-76-00X</t>
  </si>
  <si>
    <t>GSA Liberal Studies Mstrs Prgm</t>
  </si>
  <si>
    <t>48-77-00X</t>
  </si>
  <si>
    <t>GSA Medieval &amp; Renaiss Prgm</t>
  </si>
  <si>
    <t>48-79-00X</t>
  </si>
  <si>
    <t>GSA Reid Hall</t>
  </si>
  <si>
    <t>48-80-00X</t>
  </si>
  <si>
    <t>GSA Ctr,Inst&amp;Interdisc Prg Adm</t>
  </si>
  <si>
    <t>48-01-00X</t>
  </si>
  <si>
    <t>48-20-00X</t>
  </si>
  <si>
    <t>GSA Art History &amp; Archaeology</t>
  </si>
  <si>
    <t>48-21-00X</t>
  </si>
  <si>
    <t>GSA East Asian Lang &amp; Cultures</t>
  </si>
  <si>
    <t>48-22-00X</t>
  </si>
  <si>
    <t>GSA English &amp; Comparative Lit</t>
  </si>
  <si>
    <t>48-23-00X</t>
  </si>
  <si>
    <t>GSA French &amp; Romance Philology</t>
  </si>
  <si>
    <t>48-24-00X</t>
  </si>
  <si>
    <t>GSA Germanic Languages (GERL)</t>
  </si>
  <si>
    <t>48-25-00X</t>
  </si>
  <si>
    <t>GSA Classics (CLAS)</t>
  </si>
  <si>
    <t>48-26-00X</t>
  </si>
  <si>
    <t>GSA Italian (ITAL)</t>
  </si>
  <si>
    <t>48-27-00X</t>
  </si>
  <si>
    <t>GSA MESAAS</t>
  </si>
  <si>
    <t>48-28-00X</t>
  </si>
  <si>
    <t>GSA Music (MUSI)</t>
  </si>
  <si>
    <t>48-29-00X</t>
  </si>
  <si>
    <t>GSA Philosophy (PHIL)</t>
  </si>
  <si>
    <t>48-30-00X</t>
  </si>
  <si>
    <t>GSA Religion (RELI)</t>
  </si>
  <si>
    <t>48-31-00X</t>
  </si>
  <si>
    <t>GSA Slavic Languages (SLAL)</t>
  </si>
  <si>
    <t>48-32-00X</t>
  </si>
  <si>
    <t>GSA LAIC</t>
  </si>
  <si>
    <t>48-33-00X</t>
  </si>
  <si>
    <t>48-40-00X</t>
  </si>
  <si>
    <t>GSA Astronomy (ASTR)</t>
  </si>
  <si>
    <t>48-41-00X</t>
  </si>
  <si>
    <t>GSA Biological Sciences (BIOS)</t>
  </si>
  <si>
    <t>48-42-00X</t>
  </si>
  <si>
    <t>GSA Chemistry (CHEM)</t>
  </si>
  <si>
    <t>48-43-00X</t>
  </si>
  <si>
    <t>GSA Earth &amp; Environ Sciences</t>
  </si>
  <si>
    <t>48-44-00X</t>
  </si>
  <si>
    <t>GSA E3B</t>
  </si>
  <si>
    <t>48-45-00X</t>
  </si>
  <si>
    <t>GSA Statistics (STAT)</t>
  </si>
  <si>
    <t>48-46-00X</t>
  </si>
  <si>
    <t>GSA Mathematics (MATH)</t>
  </si>
  <si>
    <t>48-47-00X</t>
  </si>
  <si>
    <t>GSA Physics (PHYS)</t>
  </si>
  <si>
    <t>48-48-00X</t>
  </si>
  <si>
    <t>GSA Psychology (PSYC)</t>
  </si>
  <si>
    <t>48-49-00X</t>
  </si>
  <si>
    <t>48-10-00X</t>
  </si>
  <si>
    <t>GSA Anthropology (ANTH)</t>
  </si>
  <si>
    <t>48-11-00X</t>
  </si>
  <si>
    <t>GSA Economics (ECON)</t>
  </si>
  <si>
    <t>48-12-00X</t>
  </si>
  <si>
    <t>GSA History (HIST)</t>
  </si>
  <si>
    <t>48-13-00X</t>
  </si>
  <si>
    <t>GSA Political Science (POLS)</t>
  </si>
  <si>
    <t>48-14-00X</t>
  </si>
  <si>
    <t>GSA Sociology (SOCI)</t>
  </si>
  <si>
    <t>48-15-00X</t>
  </si>
  <si>
    <t>60-03-00X</t>
  </si>
  <si>
    <t>EIL Lamont Administration</t>
  </si>
  <si>
    <t>60-10-00X</t>
  </si>
  <si>
    <t>EIL Lamont Divisions</t>
  </si>
  <si>
    <t>60-01-00X</t>
  </si>
  <si>
    <t>EIM General</t>
  </si>
  <si>
    <t>60-02-00X</t>
  </si>
  <si>
    <t>EIM Administration</t>
  </si>
  <si>
    <t>60-60-00X</t>
  </si>
  <si>
    <t>EIM Centers &amp; Divisions</t>
  </si>
  <si>
    <t>60-61-00X</t>
  </si>
  <si>
    <t>60-62-00X</t>
  </si>
  <si>
    <t>60-63-00X</t>
  </si>
  <si>
    <t>EIM MDG East</t>
  </si>
  <si>
    <t>61-11-00X</t>
  </si>
  <si>
    <t>PRV American Assembly</t>
  </si>
  <si>
    <t>64-13-00X</t>
  </si>
  <si>
    <t>64-10-00X</t>
  </si>
  <si>
    <t>64-14-00X</t>
  </si>
  <si>
    <t>64-12-00X</t>
  </si>
  <si>
    <t>50-02-00X</t>
  </si>
  <si>
    <t>50-61-00X</t>
  </si>
  <si>
    <t>50-60-00X</t>
  </si>
  <si>
    <t>50-01-00X</t>
  </si>
  <si>
    <t>50-10-00X</t>
  </si>
  <si>
    <t>51-60-00X</t>
  </si>
  <si>
    <t>BUS Centers and Institutes</t>
  </si>
  <si>
    <t>51-61-00X</t>
  </si>
  <si>
    <t>BUS Programs</t>
  </si>
  <si>
    <t>51-01-00X</t>
  </si>
  <si>
    <t>BUS School-General</t>
  </si>
  <si>
    <t>51-10-00X</t>
  </si>
  <si>
    <t>51-02-00X</t>
  </si>
  <si>
    <t>52-02-00X</t>
  </si>
  <si>
    <t>52-60-00X</t>
  </si>
  <si>
    <t>52-01-00X</t>
  </si>
  <si>
    <t>52-10-00X</t>
  </si>
  <si>
    <t>ENG Appl Physics &amp; Appl Math</t>
  </si>
  <si>
    <t>52-11-00X</t>
  </si>
  <si>
    <t>ENG Chemical Engineering</t>
  </si>
  <si>
    <t>52-12-00X</t>
  </si>
  <si>
    <t>ENG Civil Engr  &amp; Engr Mecha</t>
  </si>
  <si>
    <t>52-13-00X</t>
  </si>
  <si>
    <t>ENG Computer Science</t>
  </si>
  <si>
    <t>52-14-00X</t>
  </si>
  <si>
    <t>ENG Electrical Engineering</t>
  </si>
  <si>
    <t>52-15-00X</t>
  </si>
  <si>
    <t>ENG Industrial Engr &amp; OR</t>
  </si>
  <si>
    <t>52-16-00X</t>
  </si>
  <si>
    <t>ENG Mechanical Engineering</t>
  </si>
  <si>
    <t>52-17-00X</t>
  </si>
  <si>
    <t>ENG Earth &amp; Environmental Engr</t>
  </si>
  <si>
    <t>52-18-00X</t>
  </si>
  <si>
    <t>ENG Biomedical Engineering</t>
  </si>
  <si>
    <t>54-02-00X</t>
  </si>
  <si>
    <t>JRN Admin Affairs</t>
  </si>
  <si>
    <t>54-03-00X</t>
  </si>
  <si>
    <t>JRN Develop &amp; Alumni Relations</t>
  </si>
  <si>
    <t>54-04-00X</t>
  </si>
  <si>
    <t>JRN Student Affairs</t>
  </si>
  <si>
    <t>54-05-00X</t>
  </si>
  <si>
    <t>JRN Communications</t>
  </si>
  <si>
    <t>54-06-00X</t>
  </si>
  <si>
    <t>JRN Dean's Office</t>
  </si>
  <si>
    <t>54-60-00X</t>
  </si>
  <si>
    <t>JRN Prizes &amp; Programs</t>
  </si>
  <si>
    <t>54-61-00X</t>
  </si>
  <si>
    <t>JRN Columbia Journalism Review</t>
  </si>
  <si>
    <t>54-01-00X</t>
  </si>
  <si>
    <t>JRN School General</t>
  </si>
  <si>
    <t>54-10-00X</t>
  </si>
  <si>
    <t>JRN Journalism</t>
  </si>
  <si>
    <t>55-02-00X</t>
  </si>
  <si>
    <t>LAW School Administration</t>
  </si>
  <si>
    <t>55-60-00X</t>
  </si>
  <si>
    <t>LAW Centers &amp; Programs</t>
  </si>
  <si>
    <t>55-01-00X</t>
  </si>
  <si>
    <t>55-30-00X</t>
  </si>
  <si>
    <t>55-10-00X</t>
  </si>
  <si>
    <t>LAW Academic Department: Law</t>
  </si>
  <si>
    <t>56-02-00X</t>
  </si>
  <si>
    <t>IPA School Administration</t>
  </si>
  <si>
    <t>56-60-00X</t>
  </si>
  <si>
    <t>IPA Saltzman Inst War Peace St</t>
  </si>
  <si>
    <t>56-61-00X</t>
  </si>
  <si>
    <t>IPA Ctr Int'l Conflict Resol</t>
  </si>
  <si>
    <t>56-62-00X</t>
  </si>
  <si>
    <t>IPA Ctr Enrgy,MarTransp&amp;PubPol</t>
  </si>
  <si>
    <t>56-63-00X</t>
  </si>
  <si>
    <t>IPA Ctr for Global Econ Govern</t>
  </si>
  <si>
    <t>56-64-00X</t>
  </si>
  <si>
    <t>IPA Picker Ctr for Exec Educ</t>
  </si>
  <si>
    <t>56-01-00X</t>
  </si>
  <si>
    <t>56-10-00X</t>
  </si>
  <si>
    <t>IPA Academic Dept: SIPA</t>
  </si>
  <si>
    <t>57-02-00X</t>
  </si>
  <si>
    <t>SSW Institutional Rsch &amp; Eval</t>
  </si>
  <si>
    <t>57-03-00X</t>
  </si>
  <si>
    <t>SSW Student &amp; Enrollment Srvcs</t>
  </si>
  <si>
    <t>57-04-00X</t>
  </si>
  <si>
    <t>SSW Doctoral Office</t>
  </si>
  <si>
    <t>57-05-00X</t>
  </si>
  <si>
    <t>SSW Development &amp; Alumni Relat</t>
  </si>
  <si>
    <t>57-06-00X</t>
  </si>
  <si>
    <t>SSW External Affrs &amp; Comm Off</t>
  </si>
  <si>
    <t>57-07-00X</t>
  </si>
  <si>
    <t>SSW Dean's Office</t>
  </si>
  <si>
    <t>57-08-00X</t>
  </si>
  <si>
    <t>SSW Finance Mgmt &amp; Admin Srvcs</t>
  </si>
  <si>
    <t>57-01-00X</t>
  </si>
  <si>
    <t>57-10-00X</t>
  </si>
  <si>
    <t>57-11-00X</t>
  </si>
  <si>
    <t>SSW Rsch &amp; Academic Affairs</t>
  </si>
  <si>
    <t>57-60-00X</t>
  </si>
  <si>
    <t>SSW Social Intervention Group</t>
  </si>
  <si>
    <t>57-61-00X</t>
  </si>
  <si>
    <t>SSW Workplace Center</t>
  </si>
  <si>
    <t>57-62-00X</t>
  </si>
  <si>
    <t>SSW Glb Hth Rsch Ctr Cent Asia</t>
  </si>
  <si>
    <t>57-63-00X</t>
  </si>
  <si>
    <t>SSW Individual Rsch &amp; Initiat</t>
  </si>
  <si>
    <t>70-03-20X</t>
  </si>
  <si>
    <t>CMC CUMC Budget and Finance</t>
  </si>
  <si>
    <t>70-03-10X</t>
  </si>
  <si>
    <t>70-03-30X</t>
  </si>
  <si>
    <t>CMC CUMC Controller</t>
  </si>
  <si>
    <t>70-06-10X</t>
  </si>
  <si>
    <t>70-06-30X</t>
  </si>
  <si>
    <t>CMC CUMC Communications</t>
  </si>
  <si>
    <t>70-06-20X</t>
  </si>
  <si>
    <t>CMC CUMC Gov't &amp; Comm Affairs</t>
  </si>
  <si>
    <t>70-06-40X</t>
  </si>
  <si>
    <t>CMC CUMC HR</t>
  </si>
  <si>
    <t>70-07-90X</t>
  </si>
  <si>
    <t>CMC CUMC Facil Resid Prop Mgmt</t>
  </si>
  <si>
    <t>70-07-30X</t>
  </si>
  <si>
    <t>CMC CUMC Facilities Oper &amp; Mgt</t>
  </si>
  <si>
    <t>70-07-20X</t>
  </si>
  <si>
    <t>CMC CUMC Lasker Biom Rsch Bldg</t>
  </si>
  <si>
    <t>70-07-10X</t>
  </si>
  <si>
    <t>70-08-10X</t>
  </si>
  <si>
    <t>CMC CUMC IT</t>
  </si>
  <si>
    <t>70-04-10X</t>
  </si>
  <si>
    <t>70-04-20X</t>
  </si>
  <si>
    <t>CMC CUMC Events</t>
  </si>
  <si>
    <t>70-01-10X</t>
  </si>
  <si>
    <t>70-99-10X</t>
  </si>
  <si>
    <t>70-02-10X</t>
  </si>
  <si>
    <t>75-01-10X</t>
  </si>
  <si>
    <t>75-02-10X</t>
  </si>
  <si>
    <t>P&amp;S Dean's Office</t>
  </si>
  <si>
    <t>75-03-20X</t>
  </si>
  <si>
    <t>P&amp;S Office of Communications</t>
  </si>
  <si>
    <t>75-03-10X</t>
  </si>
  <si>
    <t>75-04-10X</t>
  </si>
  <si>
    <t>75-05-10X</t>
  </si>
  <si>
    <t>75-06-20X</t>
  </si>
  <si>
    <t>P&amp;S Continuing Medical Educ</t>
  </si>
  <si>
    <t>75-06-10X</t>
  </si>
  <si>
    <t>75-07-10X</t>
  </si>
  <si>
    <t>75-08-10X</t>
  </si>
  <si>
    <t>P&amp;S Inst of Comparative Med</t>
  </si>
  <si>
    <t>75-09-10X</t>
  </si>
  <si>
    <t>75-61-20X</t>
  </si>
  <si>
    <t>BMB Administration</t>
  </si>
  <si>
    <t>75-61-10X</t>
  </si>
  <si>
    <t>BMB General</t>
  </si>
  <si>
    <t>75-61-30X</t>
  </si>
  <si>
    <t>BMB Research Operations</t>
  </si>
  <si>
    <t>75-62-20X</t>
  </si>
  <si>
    <t>G&amp;D Dept Admin</t>
  </si>
  <si>
    <t>75-62-30X</t>
  </si>
  <si>
    <t>G&amp;D Education</t>
  </si>
  <si>
    <t>75-62-10X</t>
  </si>
  <si>
    <t>G&amp;D General</t>
  </si>
  <si>
    <t>75-62-40X</t>
  </si>
  <si>
    <t>G&amp;D Research Lab Operations</t>
  </si>
  <si>
    <t>75-63-20X</t>
  </si>
  <si>
    <t>MIC Dept Admin</t>
  </si>
  <si>
    <t>75-63-30X</t>
  </si>
  <si>
    <t>MIC Education</t>
  </si>
  <si>
    <t>75-63-10X</t>
  </si>
  <si>
    <t>MIC General</t>
  </si>
  <si>
    <t>75-63-40X</t>
  </si>
  <si>
    <t>MIC Research Operations</t>
  </si>
  <si>
    <t>75-64-20X</t>
  </si>
  <si>
    <t>NSC Dept Admin</t>
  </si>
  <si>
    <t>75-64-30X</t>
  </si>
  <si>
    <t>NSC Education</t>
  </si>
  <si>
    <t>75-64-10X</t>
  </si>
  <si>
    <t>NSC General</t>
  </si>
  <si>
    <t>75-64-40X</t>
  </si>
  <si>
    <t>NSC Research</t>
  </si>
  <si>
    <t>75-64-50X</t>
  </si>
  <si>
    <t>NSC Research Mahoney</t>
  </si>
  <si>
    <t>75-64-60X</t>
  </si>
  <si>
    <t>NSC Research Theory</t>
  </si>
  <si>
    <t>75-65-20X</t>
  </si>
  <si>
    <t>PHA Administration</t>
  </si>
  <si>
    <t>75-65-30X</t>
  </si>
  <si>
    <t>PHA Education</t>
  </si>
  <si>
    <t>75-65-10X</t>
  </si>
  <si>
    <t>PHA General</t>
  </si>
  <si>
    <t>75-65-40X</t>
  </si>
  <si>
    <t>PHA Research</t>
  </si>
  <si>
    <t>75-66-20X</t>
  </si>
  <si>
    <t>PHY Administration</t>
  </si>
  <si>
    <t>75-66-50X</t>
  </si>
  <si>
    <t>PHY CMR</t>
  </si>
  <si>
    <t>75-66-30X</t>
  </si>
  <si>
    <t>PHY Education</t>
  </si>
  <si>
    <t>75-66-10X</t>
  </si>
  <si>
    <t>PHY General</t>
  </si>
  <si>
    <t>75-66-40X</t>
  </si>
  <si>
    <t>PHY Research</t>
  </si>
  <si>
    <t>75-67-20X</t>
  </si>
  <si>
    <t>DBM Administration</t>
  </si>
  <si>
    <t>75-67-10X</t>
  </si>
  <si>
    <t>DBM General</t>
  </si>
  <si>
    <t>75-67-30X</t>
  </si>
  <si>
    <t>DBM Operations</t>
  </si>
  <si>
    <t>75-10-20X</t>
  </si>
  <si>
    <t>ANE Administration</t>
  </si>
  <si>
    <t>75-10-30X</t>
  </si>
  <si>
    <t>ANE Clinical Operations</t>
  </si>
  <si>
    <t>75-10-40X</t>
  </si>
  <si>
    <t>ANE Education</t>
  </si>
  <si>
    <t>75-10-10X</t>
  </si>
  <si>
    <t>ANE General</t>
  </si>
  <si>
    <t>75-10-50X</t>
  </si>
  <si>
    <t>ANE Research Operations</t>
  </si>
  <si>
    <t>75-12-20X</t>
  </si>
  <si>
    <t>DRM Administration</t>
  </si>
  <si>
    <t>75-12-30X</t>
  </si>
  <si>
    <t>DRM Clinical Operations</t>
  </si>
  <si>
    <t>75-12-40X</t>
  </si>
  <si>
    <t>DRM Education</t>
  </si>
  <si>
    <t>75-12-10X</t>
  </si>
  <si>
    <t>DRM General</t>
  </si>
  <si>
    <t>75-12-50X</t>
  </si>
  <si>
    <t>DRM Research Operations</t>
  </si>
  <si>
    <t>75-14-20X</t>
  </si>
  <si>
    <t>NBD Administration</t>
  </si>
  <si>
    <t>75-14-30X</t>
  </si>
  <si>
    <t>NBD Clinical Operations</t>
  </si>
  <si>
    <t>75-14-10X</t>
  </si>
  <si>
    <t>NBD General</t>
  </si>
  <si>
    <t>75-14-40X</t>
  </si>
  <si>
    <t>NBD Research Operations</t>
  </si>
  <si>
    <t>75-20-10X</t>
  </si>
  <si>
    <t>MED Affiliated Hospitals</t>
  </si>
  <si>
    <t>75-19-80X</t>
  </si>
  <si>
    <t>MED Allen Hospital</t>
  </si>
  <si>
    <t>75-18-90X</t>
  </si>
  <si>
    <t>MED Behavioral Cardiology</t>
  </si>
  <si>
    <t>75-18-30X</t>
  </si>
  <si>
    <t>MED Cardiology</t>
  </si>
  <si>
    <t>75-18-40X</t>
  </si>
  <si>
    <t>MED Clinical Md Practice</t>
  </si>
  <si>
    <t>75-18-20X</t>
  </si>
  <si>
    <t>MED Core Administration</t>
  </si>
  <si>
    <t>75-18-70X</t>
  </si>
  <si>
    <t>MED Digestive &amp; Liver Diseases</t>
  </si>
  <si>
    <t>75-20-50X</t>
  </si>
  <si>
    <t>MED EXPERIMENTAL THERAPEUTICS</t>
  </si>
  <si>
    <t>75-20-30X</t>
  </si>
  <si>
    <t>MED Emergency Medicine</t>
  </si>
  <si>
    <t>75-18-50X</t>
  </si>
  <si>
    <t>MED Endocrinology</t>
  </si>
  <si>
    <t>75-20-40X</t>
  </si>
  <si>
    <t>MED Family Medicine</t>
  </si>
  <si>
    <t>75-18-10X</t>
  </si>
  <si>
    <t>MED General</t>
  </si>
  <si>
    <t>75-18-80X</t>
  </si>
  <si>
    <t>MED General Medicine</t>
  </si>
  <si>
    <t>75-19-90X</t>
  </si>
  <si>
    <t>MED Geriatrics</t>
  </si>
  <si>
    <t>75-19-50X</t>
  </si>
  <si>
    <t>MED Hematology &amp; Oncology</t>
  </si>
  <si>
    <t>75-19-10X</t>
  </si>
  <si>
    <t>MED Immunology</t>
  </si>
  <si>
    <t>75-18-60X</t>
  </si>
  <si>
    <t>MED Infectious Diseases</t>
  </si>
  <si>
    <t>75-19-40X</t>
  </si>
  <si>
    <t>MED Molecular Medicine</t>
  </si>
  <si>
    <t>75-19-30X</t>
  </si>
  <si>
    <t>MED Nephrology</t>
  </si>
  <si>
    <t>75-19-20X</t>
  </si>
  <si>
    <t>MED Preventive Medicine</t>
  </si>
  <si>
    <t>75-19-60X</t>
  </si>
  <si>
    <t>MED Pulmonary</t>
  </si>
  <si>
    <t>75-20-20X</t>
  </si>
  <si>
    <t>MED Residency Program</t>
  </si>
  <si>
    <t>75-19-70X</t>
  </si>
  <si>
    <t>MED Rheumatology</t>
  </si>
  <si>
    <t>75-21-20X</t>
  </si>
  <si>
    <t>MED Admin-Emergency Medicine</t>
  </si>
  <si>
    <t>75-21-30X</t>
  </si>
  <si>
    <t>75-21-10X</t>
  </si>
  <si>
    <t>MED General-Emergency Medicine</t>
  </si>
  <si>
    <t>75-22-20X</t>
  </si>
  <si>
    <t>NSU Adminstration</t>
  </si>
  <si>
    <t>75-22-30X</t>
  </si>
  <si>
    <t>NSU Clinical</t>
  </si>
  <si>
    <t>75-22-40X</t>
  </si>
  <si>
    <t>NSU Education</t>
  </si>
  <si>
    <t>75-22-10X</t>
  </si>
  <si>
    <t>NSU General</t>
  </si>
  <si>
    <t>75-22-50X</t>
  </si>
  <si>
    <t>NSU Research</t>
  </si>
  <si>
    <t>75-24-20X</t>
  </si>
  <si>
    <t>NEU Administration</t>
  </si>
  <si>
    <t>75-24-80X</t>
  </si>
  <si>
    <t>NEU Aging &amp; Dementia</t>
  </si>
  <si>
    <t>75-24-30X</t>
  </si>
  <si>
    <t>NEU Clinical Ops</t>
  </si>
  <si>
    <t>75-25-30X</t>
  </si>
  <si>
    <t>NEU Columbia Neurology</t>
  </si>
  <si>
    <t>75-24-50X</t>
  </si>
  <si>
    <t>NEU Epilepsy</t>
  </si>
  <si>
    <t>75-24-10X</t>
  </si>
  <si>
    <t>NEU General</t>
  </si>
  <si>
    <t>75-25-40X</t>
  </si>
  <si>
    <t>NEU Hospital Based Programs</t>
  </si>
  <si>
    <t>75-24-70X</t>
  </si>
  <si>
    <t>NEU Movement Disorders</t>
  </si>
  <si>
    <t>75-25-10X</t>
  </si>
  <si>
    <t>NEU Neuromuscular Diseases</t>
  </si>
  <si>
    <t>75-25-20X</t>
  </si>
  <si>
    <t>NEU Neurooncology</t>
  </si>
  <si>
    <t>75-24-90X</t>
  </si>
  <si>
    <t>NEU Neuropsychology</t>
  </si>
  <si>
    <t>75-24-60X</t>
  </si>
  <si>
    <t>NEU Pediatrics</t>
  </si>
  <si>
    <t>75-24-40X</t>
  </si>
  <si>
    <t>NEU Stroke</t>
  </si>
  <si>
    <t>75-28-10X</t>
  </si>
  <si>
    <t>OBG Allen Hospital</t>
  </si>
  <si>
    <t>75-27-40X</t>
  </si>
  <si>
    <t>OBG CWRC</t>
  </si>
  <si>
    <t>75-27-20X</t>
  </si>
  <si>
    <t>OBG Core Admin</t>
  </si>
  <si>
    <t>75-28-40X</t>
  </si>
  <si>
    <t>OBG Education</t>
  </si>
  <si>
    <t>75-27-70X</t>
  </si>
  <si>
    <t>OBG Family Planning</t>
  </si>
  <si>
    <t>75-27-80X</t>
  </si>
  <si>
    <t>OBG GSS</t>
  </si>
  <si>
    <t>75-27-60X</t>
  </si>
  <si>
    <t>OBG Gen OBGYN</t>
  </si>
  <si>
    <t>75-27-10X</t>
  </si>
  <si>
    <t>OBG General Obgyn</t>
  </si>
  <si>
    <t>75-27-50X</t>
  </si>
  <si>
    <t>OBG Gyn Onc</t>
  </si>
  <si>
    <t>75-27-30X</t>
  </si>
  <si>
    <t>OBG MFM</t>
  </si>
  <si>
    <t>75-28-20X</t>
  </si>
  <si>
    <t>OBG Ph Services</t>
  </si>
  <si>
    <t>75-28-30X</t>
  </si>
  <si>
    <t>OBG Research</t>
  </si>
  <si>
    <t>75-30-20X</t>
  </si>
  <si>
    <t>OPH Administration</t>
  </si>
  <si>
    <t>75-30-30X</t>
  </si>
  <si>
    <t>OPH Clinical Operations</t>
  </si>
  <si>
    <t>75-30-10X</t>
  </si>
  <si>
    <t>OPH General</t>
  </si>
  <si>
    <t>75-30-40X</t>
  </si>
  <si>
    <t>OPH Research Operations</t>
  </si>
  <si>
    <t>75-32-20X</t>
  </si>
  <si>
    <t>ORT Administration</t>
  </si>
  <si>
    <t>75-32-30X</t>
  </si>
  <si>
    <t>ORT Clinical Operations</t>
  </si>
  <si>
    <t>75-32-10X</t>
  </si>
  <si>
    <t>ORT General</t>
  </si>
  <si>
    <t>75-32-40X</t>
  </si>
  <si>
    <t>ORT Research / Education</t>
  </si>
  <si>
    <t>75-34-20X</t>
  </si>
  <si>
    <t>REH Core Administration</t>
  </si>
  <si>
    <t>75-34-10X</t>
  </si>
  <si>
    <t>REH General</t>
  </si>
  <si>
    <t>75-34-30X</t>
  </si>
  <si>
    <t>REH Occupational Therapy</t>
  </si>
  <si>
    <t>75-34-40X</t>
  </si>
  <si>
    <t>REH Physical Therapy</t>
  </si>
  <si>
    <t>75-34-60X</t>
  </si>
  <si>
    <t>REH Rehab Medicine</t>
  </si>
  <si>
    <t>75-34-50X</t>
  </si>
  <si>
    <t>REH Stem Cell</t>
  </si>
  <si>
    <t>75-36-20X</t>
  </si>
  <si>
    <t>OTO Administration</t>
  </si>
  <si>
    <t>75-36-30X</t>
  </si>
  <si>
    <t>OTO Clinical Operations</t>
  </si>
  <si>
    <t>75-36-50X</t>
  </si>
  <si>
    <t>OTO Education Operations</t>
  </si>
  <si>
    <t>75-36-10X</t>
  </si>
  <si>
    <t>OTO General</t>
  </si>
  <si>
    <t>75-36-40X</t>
  </si>
  <si>
    <t>OTO Research Operations</t>
  </si>
  <si>
    <t>75-38-20X</t>
  </si>
  <si>
    <t>PAT Administration</t>
  </si>
  <si>
    <t>75-38-80X</t>
  </si>
  <si>
    <t>PAT Clinical Operations</t>
  </si>
  <si>
    <t>75-38-30X</t>
  </si>
  <si>
    <t>PAT Education</t>
  </si>
  <si>
    <t>75-38-10X</t>
  </si>
  <si>
    <t>PAT General</t>
  </si>
  <si>
    <t>75-38-40X</t>
  </si>
  <si>
    <t>PAT MNC Research Operations</t>
  </si>
  <si>
    <t>75-38-50X</t>
  </si>
  <si>
    <t>PAT Research Operations</t>
  </si>
  <si>
    <t>75-40-30X</t>
  </si>
  <si>
    <t>PED Allergy</t>
  </si>
  <si>
    <t>75-40-40X</t>
  </si>
  <si>
    <t>PED BioMath</t>
  </si>
  <si>
    <t>75-41-20X</t>
  </si>
  <si>
    <t>PED CAM</t>
  </si>
  <si>
    <t>75-40-50X</t>
  </si>
  <si>
    <t>PED Cardiology</t>
  </si>
  <si>
    <t>75-40-20X</t>
  </si>
  <si>
    <t>PED Central Admin</t>
  </si>
  <si>
    <t>75-40-60X</t>
  </si>
  <si>
    <t>PED Clinical Genetics</t>
  </si>
  <si>
    <t>75-40-70X</t>
  </si>
  <si>
    <t>PED Critical Care</t>
  </si>
  <si>
    <t>75-40-80X</t>
  </si>
  <si>
    <t>PED Emergency Medicine</t>
  </si>
  <si>
    <t>75-40-90X</t>
  </si>
  <si>
    <t>PED Endocrinology</t>
  </si>
  <si>
    <t>75-41-10X</t>
  </si>
  <si>
    <t>PED Gastroenterology</t>
  </si>
  <si>
    <t>75-40-10X</t>
  </si>
  <si>
    <t>PED General</t>
  </si>
  <si>
    <t>75-41-30X</t>
  </si>
  <si>
    <t>PED Infectious Disease</t>
  </si>
  <si>
    <t>75-41-40X</t>
  </si>
  <si>
    <t>PED Molecular Genetics</t>
  </si>
  <si>
    <t>75-41-50X</t>
  </si>
  <si>
    <t>PED Neonatal</t>
  </si>
  <si>
    <t>75-41-60X</t>
  </si>
  <si>
    <t>PED Nephrology</t>
  </si>
  <si>
    <t>75-41-70X</t>
  </si>
  <si>
    <t>PED Onc/BMT/Hem</t>
  </si>
  <si>
    <t>75-41-80X</t>
  </si>
  <si>
    <t>75-41-90X</t>
  </si>
  <si>
    <t>75-42-10X</t>
  </si>
  <si>
    <t>PED Pulmonary</t>
  </si>
  <si>
    <t>75-42-20X</t>
  </si>
  <si>
    <t>PED Rheumatology</t>
  </si>
  <si>
    <t>75-42-30X</t>
  </si>
  <si>
    <t>PED West Side</t>
  </si>
  <si>
    <t>75-43-30X</t>
  </si>
  <si>
    <t>PSY Behavioral Medicine</t>
  </si>
  <si>
    <t>75-43-70X</t>
  </si>
  <si>
    <t>PSY Biostatistics</t>
  </si>
  <si>
    <t>75-43-20X</t>
  </si>
  <si>
    <t>PSY Central Department</t>
  </si>
  <si>
    <t>75-43-90X</t>
  </si>
  <si>
    <t>PSY Child/Adolescent</t>
  </si>
  <si>
    <t>75-45-20X</t>
  </si>
  <si>
    <t>PSY Clinical Programs</t>
  </si>
  <si>
    <t>75-44-70X</t>
  </si>
  <si>
    <t>PSY Clinical Therapeutics</t>
  </si>
  <si>
    <t>75-43-60X</t>
  </si>
  <si>
    <t>PSY Cognitive Neurosciences</t>
  </si>
  <si>
    <t>75-44-20X</t>
  </si>
  <si>
    <t>PSY Developmental Neurosci</t>
  </si>
  <si>
    <t>75-44-10X</t>
  </si>
  <si>
    <t>PSY Epidemiology</t>
  </si>
  <si>
    <t>75-43-50X</t>
  </si>
  <si>
    <t>PSY Experimental Therapeutics</t>
  </si>
  <si>
    <t>75-43-10X</t>
  </si>
  <si>
    <t>PSY General</t>
  </si>
  <si>
    <t>75-43-40X</t>
  </si>
  <si>
    <t>PSY Geriatric Psychiatry</t>
  </si>
  <si>
    <t>75-44-40X</t>
  </si>
  <si>
    <t>PSY HIV Ctr Clin &amp; Behav Stud</t>
  </si>
  <si>
    <t>75-44-90X</t>
  </si>
  <si>
    <t>PSY Integrative Neurosciences</t>
  </si>
  <si>
    <t>75-44-50X</t>
  </si>
  <si>
    <t>PSY Medical Genetics</t>
  </si>
  <si>
    <t>75-43-80X</t>
  </si>
  <si>
    <t>PSY Mental Hlth Svc Rsch&amp;Polic</t>
  </si>
  <si>
    <t>75-44-60X</t>
  </si>
  <si>
    <t>PSY Molec Imaging &amp; Neuropath</t>
  </si>
  <si>
    <t>75-44-80X</t>
  </si>
  <si>
    <t>PSY Molecular Therapeutics</t>
  </si>
  <si>
    <t>75-45-30X</t>
  </si>
  <si>
    <t>PSY Research in Psychiatry</t>
  </si>
  <si>
    <t>75-44-30X</t>
  </si>
  <si>
    <t>PSY Substance Abuse</t>
  </si>
  <si>
    <t>75-45-10X</t>
  </si>
  <si>
    <t>PSY Translational Imaging</t>
  </si>
  <si>
    <t>75-47-30X</t>
  </si>
  <si>
    <t>RNC Clinical Operations</t>
  </si>
  <si>
    <t>75-47-50X</t>
  </si>
  <si>
    <t>RNC Education</t>
  </si>
  <si>
    <t>75-47-10X</t>
  </si>
  <si>
    <t>RNC General</t>
  </si>
  <si>
    <t>75-47-20X</t>
  </si>
  <si>
    <t>RNC General Administration</t>
  </si>
  <si>
    <t>75-47-40X</t>
  </si>
  <si>
    <t>RNC Research</t>
  </si>
  <si>
    <t>75-49-20X</t>
  </si>
  <si>
    <t>RAD Administration</t>
  </si>
  <si>
    <t>75-49-10X</t>
  </si>
  <si>
    <t>RAD General</t>
  </si>
  <si>
    <t>75-49-30X</t>
  </si>
  <si>
    <t>RAD Operations</t>
  </si>
  <si>
    <t>75-51-40X</t>
  </si>
  <si>
    <t>SRG Abd Dept</t>
  </si>
  <si>
    <t>75-51-50X</t>
  </si>
  <si>
    <t>SRG Abd Trans</t>
  </si>
  <si>
    <t>75-51-70X</t>
  </si>
  <si>
    <t>SRG Acute Care</t>
  </si>
  <si>
    <t>75-51-20X</t>
  </si>
  <si>
    <t>SRG Admin</t>
  </si>
  <si>
    <t>75-51-80X</t>
  </si>
  <si>
    <t>SRG Bariatrics</t>
  </si>
  <si>
    <t>75-51-90X</t>
  </si>
  <si>
    <t>SRG Breast</t>
  </si>
  <si>
    <t>75-52-20X</t>
  </si>
  <si>
    <t>SRG CT</t>
  </si>
  <si>
    <t>75-52-10X</t>
  </si>
  <si>
    <t>SRG Colorectal</t>
  </si>
  <si>
    <t>75-52-40X</t>
  </si>
  <si>
    <t>SRG GI/Endo</t>
  </si>
  <si>
    <t>75-51-10X</t>
  </si>
  <si>
    <t>SRG General</t>
  </si>
  <si>
    <t>75-52-30X</t>
  </si>
  <si>
    <t>SRG General Surg</t>
  </si>
  <si>
    <t>75-55-20X</t>
  </si>
  <si>
    <t>SRG Other Operation</t>
  </si>
  <si>
    <t>75-55-40X</t>
  </si>
  <si>
    <t>SRG Other Rsch</t>
  </si>
  <si>
    <t>75-52-50X</t>
  </si>
  <si>
    <t>SRG Pediatrics</t>
  </si>
  <si>
    <t>75-52-60X</t>
  </si>
  <si>
    <t>SRG Plastics</t>
  </si>
  <si>
    <t>75-51-30X</t>
  </si>
  <si>
    <t>SRG RCIOR</t>
  </si>
  <si>
    <t>75-55-30X</t>
  </si>
  <si>
    <t>SRG Surg Science</t>
  </si>
  <si>
    <t>75-51-60X</t>
  </si>
  <si>
    <t>SRG TI</t>
  </si>
  <si>
    <t>75-52-70X</t>
  </si>
  <si>
    <t>SRG Thoracic</t>
  </si>
  <si>
    <t>75-52-80X</t>
  </si>
  <si>
    <t>SRG Valley</t>
  </si>
  <si>
    <t>75-55-50X</t>
  </si>
  <si>
    <t>SRG Valve Center</t>
  </si>
  <si>
    <t>75-52-90X</t>
  </si>
  <si>
    <t>SRG Vascular</t>
  </si>
  <si>
    <t>75-55-10X</t>
  </si>
  <si>
    <t>SRG Wound</t>
  </si>
  <si>
    <t>75-53-20X</t>
  </si>
  <si>
    <t>URO Admin</t>
  </si>
  <si>
    <t>75-53-40X</t>
  </si>
  <si>
    <t>URO Clinical Operations</t>
  </si>
  <si>
    <t>75-53-30X</t>
  </si>
  <si>
    <t>URO Education</t>
  </si>
  <si>
    <t>75-53-10X</t>
  </si>
  <si>
    <t>URO General</t>
  </si>
  <si>
    <t>75-53-50X</t>
  </si>
  <si>
    <t>URO Research Operations</t>
  </si>
  <si>
    <t>75-60-10X</t>
  </si>
  <si>
    <t>FPO General</t>
  </si>
  <si>
    <t>75-60-90X</t>
  </si>
  <si>
    <t>FPO Indep Practice Assn</t>
  </si>
  <si>
    <t>75-60-20X</t>
  </si>
  <si>
    <t>FPO Operations</t>
  </si>
  <si>
    <t>75-60-30X</t>
  </si>
  <si>
    <t>FPO Passthrough</t>
  </si>
  <si>
    <t>75-95-20X</t>
  </si>
  <si>
    <t>NJC Clinical Operations</t>
  </si>
  <si>
    <t>75-95-10X</t>
  </si>
  <si>
    <t>NJC General</t>
  </si>
  <si>
    <t>75-71-20X</t>
  </si>
  <si>
    <t>HIC Admin</t>
  </si>
  <si>
    <t>75-71-10X</t>
  </si>
  <si>
    <t>HIC General</t>
  </si>
  <si>
    <t>75-71-40X</t>
  </si>
  <si>
    <t>HIC Institutional Core</t>
  </si>
  <si>
    <t>75-71-30X</t>
  </si>
  <si>
    <t>HIC Research</t>
  </si>
  <si>
    <t>75-73-20X</t>
  </si>
  <si>
    <t>FCM Administration</t>
  </si>
  <si>
    <t>75-73-10X</t>
  </si>
  <si>
    <t>FCM General</t>
  </si>
  <si>
    <t>75-73-30X</t>
  </si>
  <si>
    <t>FCM Operations</t>
  </si>
  <si>
    <t>75-74-20X</t>
  </si>
  <si>
    <t>JSB Admin</t>
  </si>
  <si>
    <t>75-74-10X</t>
  </si>
  <si>
    <t>JSB General</t>
  </si>
  <si>
    <t>75-74-40X</t>
  </si>
  <si>
    <t>JSB Institutional Core</t>
  </si>
  <si>
    <t>75-74-30X</t>
  </si>
  <si>
    <t>JSB Labs</t>
  </si>
  <si>
    <t>75-75-20X</t>
  </si>
  <si>
    <t>ICG Administration</t>
  </si>
  <si>
    <t>75-75-10X</t>
  </si>
  <si>
    <t>ICG General</t>
  </si>
  <si>
    <t>75-75-30X</t>
  </si>
  <si>
    <t>ICG Research</t>
  </si>
  <si>
    <t>75-76-40X</t>
  </si>
  <si>
    <t>IHN BGU</t>
  </si>
  <si>
    <t>75-76-50X</t>
  </si>
  <si>
    <t>75-76-30X</t>
  </si>
  <si>
    <t>IHN Education Operations</t>
  </si>
  <si>
    <t>75-76-10X</t>
  </si>
  <si>
    <t>IHN General</t>
  </si>
  <si>
    <t>75-76-20X</t>
  </si>
  <si>
    <t>IHN Research Operations</t>
  </si>
  <si>
    <t>75-77-20X</t>
  </si>
  <si>
    <t>ICR Administration</t>
  </si>
  <si>
    <t>75-77-10X</t>
  </si>
  <si>
    <t>ICR General</t>
  </si>
  <si>
    <t>75-77-30X</t>
  </si>
  <si>
    <t>ICR Operations</t>
  </si>
  <si>
    <t>75-78-10X</t>
  </si>
  <si>
    <t>MAP General</t>
  </si>
  <si>
    <t>75-78-30X</t>
  </si>
  <si>
    <t>MAP Operations</t>
  </si>
  <si>
    <t>75-79-10X</t>
  </si>
  <si>
    <t>CRR General</t>
  </si>
  <si>
    <t>75-79-30X</t>
  </si>
  <si>
    <t>CRR Institutional Core</t>
  </si>
  <si>
    <t>75-79-20X</t>
  </si>
  <si>
    <t>CRR Operations</t>
  </si>
  <si>
    <t>75-80-10X</t>
  </si>
  <si>
    <t>CSM General</t>
  </si>
  <si>
    <t>75-80-20X</t>
  </si>
  <si>
    <t>CSM Operations</t>
  </si>
  <si>
    <t>75-81-20X</t>
  </si>
  <si>
    <t>TBI Administration</t>
  </si>
  <si>
    <t>75-81-10X</t>
  </si>
  <si>
    <t>TBI General</t>
  </si>
  <si>
    <t>75-81-40X</t>
  </si>
  <si>
    <t>TBI Patient Care</t>
  </si>
  <si>
    <t>75-81-30X</t>
  </si>
  <si>
    <t>TBI Research</t>
  </si>
  <si>
    <t>75-82-20X</t>
  </si>
  <si>
    <t>SGV Administration</t>
  </si>
  <si>
    <t>75-82-10X</t>
  </si>
  <si>
    <t>SGV General</t>
  </si>
  <si>
    <t>75-82-30X</t>
  </si>
  <si>
    <t>SGV Research</t>
  </si>
  <si>
    <t>75-16-20X</t>
  </si>
  <si>
    <t>HLM Administration</t>
  </si>
  <si>
    <t>75-16-30X</t>
  </si>
  <si>
    <t>HLM Clinical Operations</t>
  </si>
  <si>
    <t>75-16-40X</t>
  </si>
  <si>
    <t>HLM Education Operations</t>
  </si>
  <si>
    <t>75-16-10X</t>
  </si>
  <si>
    <t>HLM General</t>
  </si>
  <si>
    <t>75-16-50X</t>
  </si>
  <si>
    <t>HLM Research Operations</t>
  </si>
  <si>
    <t>79-20-10X</t>
  </si>
  <si>
    <t>CDM Adult Dentistry</t>
  </si>
  <si>
    <t>79-20-30X</t>
  </si>
  <si>
    <t>CDM Growth &amp; Development</t>
  </si>
  <si>
    <t>79-20-40X</t>
  </si>
  <si>
    <t>CDM Hospital Dentistry</t>
  </si>
  <si>
    <t>79-20-20X</t>
  </si>
  <si>
    <t>CDM Oral Diagnostics</t>
  </si>
  <si>
    <t>79-20-50X</t>
  </si>
  <si>
    <t>CDM Section of Social Behavior</t>
  </si>
  <si>
    <t>79-02-50X</t>
  </si>
  <si>
    <t>CDM Core Facilities</t>
  </si>
  <si>
    <t>79-02-10X</t>
  </si>
  <si>
    <t>79-02-40X</t>
  </si>
  <si>
    <t>CDM Development</t>
  </si>
  <si>
    <t>79-02-20X</t>
  </si>
  <si>
    <t>CDM Finance</t>
  </si>
  <si>
    <t>79-02-30X</t>
  </si>
  <si>
    <t>CDM Human Resources</t>
  </si>
  <si>
    <t>79-03-10X</t>
  </si>
  <si>
    <t>79-04-10X</t>
  </si>
  <si>
    <t>79-10-10X</t>
  </si>
  <si>
    <t>79-12-10X</t>
  </si>
  <si>
    <t>79-13-10X</t>
  </si>
  <si>
    <t>79-01-10X</t>
  </si>
  <si>
    <t>80-02-10X</t>
  </si>
  <si>
    <t>80-03-10X</t>
  </si>
  <si>
    <t>80-04-10X</t>
  </si>
  <si>
    <t>80-05-10X</t>
  </si>
  <si>
    <t>80-30-10X</t>
  </si>
  <si>
    <t>80-01-10X</t>
  </si>
  <si>
    <t>80-10-10X</t>
  </si>
  <si>
    <t>80-20-10X</t>
  </si>
  <si>
    <t>82-02-30X</t>
  </si>
  <si>
    <t>MDM Admin And Operations</t>
  </si>
  <si>
    <t>82-02-70X</t>
  </si>
  <si>
    <t>MDM Communications</t>
  </si>
  <si>
    <t>82-02-20X</t>
  </si>
  <si>
    <t>MDM Dean</t>
  </si>
  <si>
    <t>82-02-40X</t>
  </si>
  <si>
    <t>MDM Development</t>
  </si>
  <si>
    <t>82-01-10X</t>
  </si>
  <si>
    <t>MDM General</t>
  </si>
  <si>
    <t>82-02-50X</t>
  </si>
  <si>
    <t>MDM Msph Academic Affairs</t>
  </si>
  <si>
    <t>82-02-60X</t>
  </si>
  <si>
    <t>MDM Office Of Education</t>
  </si>
  <si>
    <t>82-30-20X</t>
  </si>
  <si>
    <t>CCP Administration</t>
  </si>
  <si>
    <t>82-30-10X</t>
  </si>
  <si>
    <t>CCP General</t>
  </si>
  <si>
    <t>82-30-40X</t>
  </si>
  <si>
    <t>CCP Research</t>
  </si>
  <si>
    <t>82-31-20X</t>
  </si>
  <si>
    <t>ICP Administration</t>
  </si>
  <si>
    <t>82-31-10X</t>
  </si>
  <si>
    <t>ICP General</t>
  </si>
  <si>
    <t>82-31-40X</t>
  </si>
  <si>
    <t>ICP Research</t>
  </si>
  <si>
    <t>82-32-20X</t>
  </si>
  <si>
    <t>CDP Administration</t>
  </si>
  <si>
    <t>82-32-10X</t>
  </si>
  <si>
    <t>CDP General</t>
  </si>
  <si>
    <t>82-32-40X</t>
  </si>
  <si>
    <t>CDP Research</t>
  </si>
  <si>
    <t>82-33-20X</t>
  </si>
  <si>
    <t>CII Administration</t>
  </si>
  <si>
    <t>82-33-10X</t>
  </si>
  <si>
    <t>CII General</t>
  </si>
  <si>
    <t>82-33-40X</t>
  </si>
  <si>
    <t>CII Research</t>
  </si>
  <si>
    <t>82-34-20X</t>
  </si>
  <si>
    <t>ILC Administration</t>
  </si>
  <si>
    <t>82-34-10X</t>
  </si>
  <si>
    <t>ILC General</t>
  </si>
  <si>
    <t>82-34-40X</t>
  </si>
  <si>
    <t>ILC Research</t>
  </si>
  <si>
    <t>82-10-20X</t>
  </si>
  <si>
    <t>BST Administration</t>
  </si>
  <si>
    <t>82-10-10X</t>
  </si>
  <si>
    <t>BST General</t>
  </si>
  <si>
    <t>82-10-30X</t>
  </si>
  <si>
    <t>BST Instruction</t>
  </si>
  <si>
    <t>82-10-40X</t>
  </si>
  <si>
    <t>BST Research</t>
  </si>
  <si>
    <t>82-11-20X</t>
  </si>
  <si>
    <t>EHS Administration</t>
  </si>
  <si>
    <t>82-11-50X</t>
  </si>
  <si>
    <t>EHS CU Ctr Children's Env Hth</t>
  </si>
  <si>
    <t>82-11-10X</t>
  </si>
  <si>
    <t>EHS General</t>
  </si>
  <si>
    <t>82-11-30X</t>
  </si>
  <si>
    <t>EHS Instruction</t>
  </si>
  <si>
    <t>82-11-40X</t>
  </si>
  <si>
    <t>EHS Research</t>
  </si>
  <si>
    <t>82-12-20X</t>
  </si>
  <si>
    <t>EPI Administration</t>
  </si>
  <si>
    <t>82-12-10X</t>
  </si>
  <si>
    <t>EPI General</t>
  </si>
  <si>
    <t>82-12-30X</t>
  </si>
  <si>
    <t>EPI Instruction</t>
  </si>
  <si>
    <t>82-12-40X</t>
  </si>
  <si>
    <t>EPI Research</t>
  </si>
  <si>
    <t>82-13-20X</t>
  </si>
  <si>
    <t>HPM Administration</t>
  </si>
  <si>
    <t>82-13-10X</t>
  </si>
  <si>
    <t>HPM General</t>
  </si>
  <si>
    <t>82-13-30X</t>
  </si>
  <si>
    <t>HPM Instruction</t>
  </si>
  <si>
    <t>82-13-40X</t>
  </si>
  <si>
    <t>HPM Research</t>
  </si>
  <si>
    <t>82-14-20X</t>
  </si>
  <si>
    <t>PFH Administration</t>
  </si>
  <si>
    <t>82-14-10X</t>
  </si>
  <si>
    <t>PFH General</t>
  </si>
  <si>
    <t>82-14-30X</t>
  </si>
  <si>
    <t>PFH Instruction</t>
  </si>
  <si>
    <t>82-14-40X</t>
  </si>
  <si>
    <t>PFH Research</t>
  </si>
  <si>
    <t>82-15-20X</t>
  </si>
  <si>
    <t>SMS Administration</t>
  </si>
  <si>
    <t>82-15-10X</t>
  </si>
  <si>
    <t>SMS General</t>
  </si>
  <si>
    <t>82-15-30X</t>
  </si>
  <si>
    <t>SMS Instruction</t>
  </si>
  <si>
    <t>82-15-40X</t>
  </si>
  <si>
    <t>SMS Research</t>
  </si>
  <si>
    <t>10-10-10X</t>
  </si>
  <si>
    <t>10-02-10X</t>
  </si>
  <si>
    <t>12-08-10X</t>
  </si>
  <si>
    <t>FAC Capital Project Management</t>
  </si>
  <si>
    <t>12-08-20X</t>
  </si>
  <si>
    <t>FAC Manhattanville Develop Grp</t>
  </si>
  <si>
    <t>12-03-30X</t>
  </si>
  <si>
    <t>FAC Admin Support</t>
  </si>
  <si>
    <t>12-03-20X</t>
  </si>
  <si>
    <t>FAC Finance</t>
  </si>
  <si>
    <t>12-03-10X</t>
  </si>
  <si>
    <t>FAC Human Resources</t>
  </si>
  <si>
    <t>12-03-40X</t>
  </si>
  <si>
    <t>FAC Office Of The VP - F&amp;A</t>
  </si>
  <si>
    <t>12-04-10X</t>
  </si>
  <si>
    <t>FAC Space Planning &amp; Mgmt</t>
  </si>
  <si>
    <t>12-06-10X</t>
  </si>
  <si>
    <t>12-07-20X</t>
  </si>
  <si>
    <t>FAC Gifted Properties</t>
  </si>
  <si>
    <t>12-07-10X</t>
  </si>
  <si>
    <t>FAC Prop Management</t>
  </si>
  <si>
    <t>12-05-20X</t>
  </si>
  <si>
    <t>FAC Campus Operations</t>
  </si>
  <si>
    <t>12-05-30X</t>
  </si>
  <si>
    <t>FAC Off-Campus Bldg Mgmt</t>
  </si>
  <si>
    <t>12-05-10X</t>
  </si>
  <si>
    <t>FAC Operations General</t>
  </si>
  <si>
    <t>12-05-50X</t>
  </si>
  <si>
    <t>FAC Physical Plant</t>
  </si>
  <si>
    <t>12-05-70X</t>
  </si>
  <si>
    <t>FAC Residential Operations</t>
  </si>
  <si>
    <t>12-05-40X</t>
  </si>
  <si>
    <t>FAC Services Center</t>
  </si>
  <si>
    <t>12-05-60X</t>
  </si>
  <si>
    <t>FAC Student Services</t>
  </si>
  <si>
    <t>12-01-30X</t>
  </si>
  <si>
    <t>FAC Academic Capital Renewal</t>
  </si>
  <si>
    <t>12-01-10X</t>
  </si>
  <si>
    <t>12-01-20X</t>
  </si>
  <si>
    <t>FAC Manhattanville Development</t>
  </si>
  <si>
    <t>12-01-40X</t>
  </si>
  <si>
    <t>FAC RE Capital Proj &amp; Acquisit</t>
  </si>
  <si>
    <t>12-01-50X</t>
  </si>
  <si>
    <t>FAC Undergraduate Res Capital</t>
  </si>
  <si>
    <t>12-02-10X</t>
  </si>
  <si>
    <t>14-02-10X</t>
  </si>
  <si>
    <t>14-03-10X</t>
  </si>
  <si>
    <t>14-04-20X</t>
  </si>
  <si>
    <t>FIN Finance Info Systems</t>
  </si>
  <si>
    <t>14-04-10X</t>
  </si>
  <si>
    <t>FIN Finance Service Center</t>
  </si>
  <si>
    <t>14-10-10X</t>
  </si>
  <si>
    <t>14-11-20X</t>
  </si>
  <si>
    <t>PRC Accounts Payable</t>
  </si>
  <si>
    <t>14-11-60X</t>
  </si>
  <si>
    <t>PRC Procurement Sys &amp; Report</t>
  </si>
  <si>
    <t>14-11-30X</t>
  </si>
  <si>
    <t>PRC Purchasing</t>
  </si>
  <si>
    <t>14-11-50X</t>
  </si>
  <si>
    <t>PRC Service Center</t>
  </si>
  <si>
    <t>14-11-10X</t>
  </si>
  <si>
    <t>PRC VP Office</t>
  </si>
  <si>
    <t>14-11-40X</t>
  </si>
  <si>
    <t>PRC Vendor Mgmt</t>
  </si>
  <si>
    <t>14-12-10X</t>
  </si>
  <si>
    <t>14-14-10X</t>
  </si>
  <si>
    <t>14-16-10X</t>
  </si>
  <si>
    <t>14-18-10X</t>
  </si>
  <si>
    <t>16-20-10X</t>
  </si>
  <si>
    <t>16-21-10X</t>
  </si>
  <si>
    <t>16-22-10X</t>
  </si>
  <si>
    <t>16-25-10X</t>
  </si>
  <si>
    <t>16-27-10X</t>
  </si>
  <si>
    <t>CSV Lerner Hall&amp;Contract Srvcs</t>
  </si>
  <si>
    <t>16-28-10X</t>
  </si>
  <si>
    <t>CSV Univ Event Mgmt</t>
  </si>
  <si>
    <t>16-30-10X</t>
  </si>
  <si>
    <t>16-01-10X</t>
  </si>
  <si>
    <t>16-06-70X</t>
  </si>
  <si>
    <t>CHR Benefits</t>
  </si>
  <si>
    <t>16-06-40X</t>
  </si>
  <si>
    <t>CHR Client Svcs</t>
  </si>
  <si>
    <t>16-06-20X</t>
  </si>
  <si>
    <t>CHR Comp &amp; HR Admin</t>
  </si>
  <si>
    <t>16-06-60X</t>
  </si>
  <si>
    <t>CHR HRIS</t>
  </si>
  <si>
    <t>16-06-30X</t>
  </si>
  <si>
    <t>CHR Labor Relations</t>
  </si>
  <si>
    <t>16-06-50X</t>
  </si>
  <si>
    <t>CHR Learn &amp; Dev/CEIC</t>
  </si>
  <si>
    <t>16-06-10X</t>
  </si>
  <si>
    <t>CHR Vice President</t>
  </si>
  <si>
    <t>16-10-10X</t>
  </si>
  <si>
    <t>CIT VP Information Technology</t>
  </si>
  <si>
    <t>16-11-10X</t>
  </si>
  <si>
    <t>16-12-30X</t>
  </si>
  <si>
    <t>CIT Tech Infrastructure Engr</t>
  </si>
  <si>
    <t>16-12-20X</t>
  </si>
  <si>
    <t>CIT Tech Infrastructure Opers</t>
  </si>
  <si>
    <t>16-12-10X</t>
  </si>
  <si>
    <t>16-13-10X</t>
  </si>
  <si>
    <t>16-14-10X</t>
  </si>
  <si>
    <t>16-15-20X</t>
  </si>
  <si>
    <t>CIT Client Support Services</t>
  </si>
  <si>
    <t>16-15-10X</t>
  </si>
  <si>
    <t>16-15-30X</t>
  </si>
  <si>
    <t>CIT Project Management Office</t>
  </si>
  <si>
    <t>16-35-10X</t>
  </si>
  <si>
    <t>16-36-40X</t>
  </si>
  <si>
    <t>RFS SFS Bus Office</t>
  </si>
  <si>
    <t>16-36-20X</t>
  </si>
  <si>
    <t>RFS SFS Cashiering</t>
  </si>
  <si>
    <t>16-36-30X</t>
  </si>
  <si>
    <t>RFS SFS Student Svc Ctr</t>
  </si>
  <si>
    <t>16-36-10X</t>
  </si>
  <si>
    <t>RFS SFS Univ Fin Aid</t>
  </si>
  <si>
    <t>16-40-10X</t>
  </si>
  <si>
    <t>16-02-10X</t>
  </si>
  <si>
    <t>18-02-10X</t>
  </si>
  <si>
    <t>18-03-10X</t>
  </si>
  <si>
    <t>18-04-10X</t>
  </si>
  <si>
    <t>18-05-10X</t>
  </si>
  <si>
    <t>18-10-10X</t>
  </si>
  <si>
    <t>18-01-10X</t>
  </si>
  <si>
    <t>18-12-30X</t>
  </si>
  <si>
    <t>CTV Tech Source  Dental</t>
  </si>
  <si>
    <t>18-12-60X</t>
  </si>
  <si>
    <t>CTV Tech Source Basic Sciences</t>
  </si>
  <si>
    <t>18-12-20X</t>
  </si>
  <si>
    <t>CTV Tech Source Mailman</t>
  </si>
  <si>
    <t>18-12-10X</t>
  </si>
  <si>
    <t>CTV Tech Source P&amp;S</t>
  </si>
  <si>
    <t>18-12-50X</t>
  </si>
  <si>
    <t>CTV Tech Source P&amp;S/Dental</t>
  </si>
  <si>
    <t>18-12-40X</t>
  </si>
  <si>
    <t>CTV Tech Src Mailman/Dental</t>
  </si>
  <si>
    <t>18-14-10X</t>
  </si>
  <si>
    <t>CTV Tech Source A&amp;S</t>
  </si>
  <si>
    <t>18-14-30X</t>
  </si>
  <si>
    <t>CTV Tech Source A&amp;S/SEAS</t>
  </si>
  <si>
    <t>18-14-50X</t>
  </si>
  <si>
    <t>CTV Tech Source Earth Inst</t>
  </si>
  <si>
    <t>18-14-20X</t>
  </si>
  <si>
    <t>CTV Tech Source SEAS</t>
  </si>
  <si>
    <t>18-14-60X</t>
  </si>
  <si>
    <t>CTV Tech Source Student Srvcs</t>
  </si>
  <si>
    <t>18-16-10X</t>
  </si>
  <si>
    <t>CTV Tech Source P&amp;S/A&amp;S</t>
  </si>
  <si>
    <t>18-16-20X</t>
  </si>
  <si>
    <t>CTV Tech Source P&amp;S/SEAS</t>
  </si>
  <si>
    <t>18-16-30X</t>
  </si>
  <si>
    <t>CTV Tech Src Mailman/SEAS/A&amp;S</t>
  </si>
  <si>
    <t>25-80-20X</t>
  </si>
  <si>
    <t>GEU EXC Admin CUMC</t>
  </si>
  <si>
    <t>25-80-10X</t>
  </si>
  <si>
    <t>GEU EXC Admin Morningside</t>
  </si>
  <si>
    <t>25-81-20X</t>
  </si>
  <si>
    <t>GEU EXC Academic CUMC</t>
  </si>
  <si>
    <t>25-81-10X</t>
  </si>
  <si>
    <t>GEU EXC Academic Morningside</t>
  </si>
  <si>
    <t>25-02-20X</t>
  </si>
  <si>
    <t>GEU OMB Capital</t>
  </si>
  <si>
    <t>25-02-10X</t>
  </si>
  <si>
    <t>GEU OMB Central Funding</t>
  </si>
  <si>
    <t>25-02-30X</t>
  </si>
  <si>
    <t>GEU OMB Oversight</t>
  </si>
  <si>
    <t>25-10-20X</t>
  </si>
  <si>
    <t>GEU OTC Balance Sheet</t>
  </si>
  <si>
    <t>25-10-10X</t>
  </si>
  <si>
    <t>GEU OTC Oversight</t>
  </si>
  <si>
    <t>25-14-10X</t>
  </si>
  <si>
    <t>GEU PRC ACCOUNTS PAYABLE</t>
  </si>
  <si>
    <t>25-16-10X</t>
  </si>
  <si>
    <t>GEU TRE Banking</t>
  </si>
  <si>
    <t>25-16-60X</t>
  </si>
  <si>
    <t>GEU TRE Debt</t>
  </si>
  <si>
    <t>25-16-40X</t>
  </si>
  <si>
    <t>GEU TRE Insurance</t>
  </si>
  <si>
    <t>25-50-30X</t>
  </si>
  <si>
    <t>25-50-20X</t>
  </si>
  <si>
    <t>GEU SFS Control</t>
  </si>
  <si>
    <t>25-50-10X</t>
  </si>
  <si>
    <t>GEU SFS Federal Title IV</t>
  </si>
  <si>
    <t>25-54-70X</t>
  </si>
  <si>
    <t>GEU FBE Fringe Admin</t>
  </si>
  <si>
    <t>25-54-80X</t>
  </si>
  <si>
    <t>GEU FBE Fringe Programs</t>
  </si>
  <si>
    <t>25-54-10X</t>
  </si>
  <si>
    <t>GEU FBE Fringe Recoveries</t>
  </si>
  <si>
    <t>25-54-40X</t>
  </si>
  <si>
    <t>GEU FBE Fringe Taxes &amp; Surchg</t>
  </si>
  <si>
    <t>25-54-20X</t>
  </si>
  <si>
    <t>GEU FBE Health &amp; Welfare</t>
  </si>
  <si>
    <t>25-54-30X</t>
  </si>
  <si>
    <t>GEU FBE Retirement</t>
  </si>
  <si>
    <t>25-54-50X</t>
  </si>
  <si>
    <t>GEU FBE Tuition Exemption</t>
  </si>
  <si>
    <t>25-54-60X</t>
  </si>
  <si>
    <t>GEU FBE Union Benefits</t>
  </si>
  <si>
    <t>25-60-10X</t>
  </si>
  <si>
    <t>25-64-20X</t>
  </si>
  <si>
    <t>GEU FAC Leases</t>
  </si>
  <si>
    <t>25-64-10X</t>
  </si>
  <si>
    <t>GEU FAC TOTAL UTILITIES</t>
  </si>
  <si>
    <t>25-01-10X</t>
  </si>
  <si>
    <t>GEU MOT Transactions</t>
  </si>
  <si>
    <t>01-02-10X</t>
  </si>
  <si>
    <t>01-03-10X</t>
  </si>
  <si>
    <t>01-03-20X</t>
  </si>
  <si>
    <t>COM Univ Publications</t>
  </si>
  <si>
    <t>01-04-10X</t>
  </si>
  <si>
    <t>01-05-10X</t>
  </si>
  <si>
    <t>01-06-10X</t>
  </si>
  <si>
    <t>01-07-10X</t>
  </si>
  <si>
    <t>01-08-10X</t>
  </si>
  <si>
    <t>01-09-10X</t>
  </si>
  <si>
    <t>01-10-10X</t>
  </si>
  <si>
    <t>01-12-80X</t>
  </si>
  <si>
    <t>CGC Africa</t>
  </si>
  <si>
    <t>01-12-40X</t>
  </si>
  <si>
    <t>CGC East Asia</t>
  </si>
  <si>
    <t>01-12-30X</t>
  </si>
  <si>
    <t>CGC Europe</t>
  </si>
  <si>
    <t>01-12-10X</t>
  </si>
  <si>
    <t>CGC Global Initiatives</t>
  </si>
  <si>
    <t>01-12-70X</t>
  </si>
  <si>
    <t>CGC Latin America</t>
  </si>
  <si>
    <t>01-12-20X</t>
  </si>
  <si>
    <t>CGC Middle East</t>
  </si>
  <si>
    <t>01-12-50X</t>
  </si>
  <si>
    <t>CGC South Asia</t>
  </si>
  <si>
    <t>01-12-60X</t>
  </si>
  <si>
    <t>CGC Turkey</t>
  </si>
  <si>
    <t>01-14-10X</t>
  </si>
  <si>
    <t>05-02-20X</t>
  </si>
  <si>
    <t>ATH External Ops</t>
  </si>
  <si>
    <t>05-02-10X</t>
  </si>
  <si>
    <t>ATH Internal Ops</t>
  </si>
  <si>
    <t>05-10-10X</t>
  </si>
  <si>
    <t>ATH Football</t>
  </si>
  <si>
    <t>05-10-20X</t>
  </si>
  <si>
    <t>ATH Men's Basketball</t>
  </si>
  <si>
    <t>05-10-40X</t>
  </si>
  <si>
    <t>ATH Other Men's</t>
  </si>
  <si>
    <t>05-10-50X</t>
  </si>
  <si>
    <t>ATH Other Women's</t>
  </si>
  <si>
    <t>05-10-30X</t>
  </si>
  <si>
    <t>ATH Women's Basketball</t>
  </si>
  <si>
    <t>05-01-10X</t>
  </si>
  <si>
    <t>05-03-10X</t>
  </si>
  <si>
    <t>05-11-10X</t>
  </si>
  <si>
    <t>07-01-10X</t>
  </si>
  <si>
    <t>07-02-10X</t>
  </si>
  <si>
    <t>OAD Office Executive VP</t>
  </si>
  <si>
    <t>07-03-40X</t>
  </si>
  <si>
    <t>OAD Athletics</t>
  </si>
  <si>
    <t>07-03-80X</t>
  </si>
  <si>
    <t>OAD CC &amp; A&amp;S VP</t>
  </si>
  <si>
    <t>07-03-50X</t>
  </si>
  <si>
    <t>OAD College and Arts &amp; Scis</t>
  </si>
  <si>
    <t>07-03-30X</t>
  </si>
  <si>
    <t>OAD Global Initiatives</t>
  </si>
  <si>
    <t>07-03-70X</t>
  </si>
  <si>
    <t>OAD Middle East Dev.</t>
  </si>
  <si>
    <t>07-03-90X</t>
  </si>
  <si>
    <t>OAD SCE &amp; GSAS</t>
  </si>
  <si>
    <t>07-03-10X</t>
  </si>
  <si>
    <t>OAD SIPA</t>
  </si>
  <si>
    <t>07-03-20X</t>
  </si>
  <si>
    <t>OAD School of the Arts</t>
  </si>
  <si>
    <t>07-03-60X</t>
  </si>
  <si>
    <t>OAD Science Development</t>
  </si>
  <si>
    <t>07-04-30X</t>
  </si>
  <si>
    <t>OAD Development</t>
  </si>
  <si>
    <t>07-04-20X</t>
  </si>
  <si>
    <t>OAD Faculty Found Relations</t>
  </si>
  <si>
    <t>07-04-40X</t>
  </si>
  <si>
    <t>07-04-10X</t>
  </si>
  <si>
    <t>OAD Principal Gifts</t>
  </si>
  <si>
    <t>07-04-50X</t>
  </si>
  <si>
    <t>OAD Prof Schools &amp; Pgms VP</t>
  </si>
  <si>
    <t>07-05-10X</t>
  </si>
  <si>
    <t>OAD Columbia Magazine</t>
  </si>
  <si>
    <t>07-06-70X</t>
  </si>
  <si>
    <t>OAD Alumni Relations VP</t>
  </si>
  <si>
    <t>07-06-40X</t>
  </si>
  <si>
    <t>OAD CAA Governance</t>
  </si>
  <si>
    <t>07-06-10X</t>
  </si>
  <si>
    <t>OAD CAA Marketing &amp; New Media</t>
  </si>
  <si>
    <t>07-06-50X</t>
  </si>
  <si>
    <t>OAD CAAL</t>
  </si>
  <si>
    <t>07-06-20X</t>
  </si>
  <si>
    <t>OAD Events and Programs</t>
  </si>
  <si>
    <t>07-06-30X</t>
  </si>
  <si>
    <t>OAD School-Based Relations</t>
  </si>
  <si>
    <t>07-06-60X</t>
  </si>
  <si>
    <t>OAD Welcome Center</t>
  </si>
  <si>
    <t>09-02-10X</t>
  </si>
  <si>
    <t>09-10-10X</t>
  </si>
  <si>
    <t>09-11-10X</t>
  </si>
  <si>
    <t>09-12-10X</t>
  </si>
  <si>
    <t>09-13-10X</t>
  </si>
  <si>
    <t>09-14-10X</t>
  </si>
  <si>
    <t>09-15-10X</t>
  </si>
  <si>
    <t>09-16-10X</t>
  </si>
  <si>
    <t>09-17-10X</t>
  </si>
  <si>
    <t>09-18-10X</t>
  </si>
  <si>
    <t>20-01-10X</t>
  </si>
  <si>
    <t>20-02-10X</t>
  </si>
  <si>
    <t>20-03-10X</t>
  </si>
  <si>
    <t>20-04-10X</t>
  </si>
  <si>
    <t>20-05-10X</t>
  </si>
  <si>
    <t>20-10-10X</t>
  </si>
  <si>
    <t>20-60-10X</t>
  </si>
  <si>
    <t>20-62-10X</t>
  </si>
  <si>
    <t>20-64-10X</t>
  </si>
  <si>
    <t>20-68-10X</t>
  </si>
  <si>
    <t>20-70-10X</t>
  </si>
  <si>
    <t>20-72-10X</t>
  </si>
  <si>
    <t>22-02-10X</t>
  </si>
  <si>
    <t>LIB Bibliographic Srvcs Admin</t>
  </si>
  <si>
    <t>22-02-20X</t>
  </si>
  <si>
    <t>LIB Collection Development</t>
  </si>
  <si>
    <t>22-02-50X</t>
  </si>
  <si>
    <t>LIB Continuing &amp; Elec Res Mgmt</t>
  </si>
  <si>
    <t>22-02-40X</t>
  </si>
  <si>
    <t>LIB Monograph Processing Srvc</t>
  </si>
  <si>
    <t>22-02-30X</t>
  </si>
  <si>
    <t>LIB Orig/Spec Mat'l Cataloging</t>
  </si>
  <si>
    <t>22-03-20X</t>
  </si>
  <si>
    <t>LIB Access Services</t>
  </si>
  <si>
    <t>22-03-10X</t>
  </si>
  <si>
    <t>LIB Administration</t>
  </si>
  <si>
    <t>22-03-30X</t>
  </si>
  <si>
    <t>LIB Area Studies</t>
  </si>
  <si>
    <t>22-03-40X</t>
  </si>
  <si>
    <t>LIB Avery Library</t>
  </si>
  <si>
    <t>22-03-50X</t>
  </si>
  <si>
    <t>LIB Burke Library</t>
  </si>
  <si>
    <t>22-03-60X</t>
  </si>
  <si>
    <t>LIB Humanities and History</t>
  </si>
  <si>
    <t>22-03-70X</t>
  </si>
  <si>
    <t>LIB Rare Book &amp; Manuscript Lib</t>
  </si>
  <si>
    <t>22-03-80X</t>
  </si>
  <si>
    <t>LIB Science and Engineering</t>
  </si>
  <si>
    <t>22-03-90X</t>
  </si>
  <si>
    <t>LIB Social Sciences</t>
  </si>
  <si>
    <t>22-04-10X</t>
  </si>
  <si>
    <t>LIB Starr East Asian Library</t>
  </si>
  <si>
    <t>22-05-10X</t>
  </si>
  <si>
    <t>22-06-10X</t>
  </si>
  <si>
    <t>22-06-30X</t>
  </si>
  <si>
    <t>LIB Copyright Advisory Office</t>
  </si>
  <si>
    <t>22-06-20X</t>
  </si>
  <si>
    <t>LIB Ctr for Dig Rsch &amp; Schlshp</t>
  </si>
  <si>
    <t>22-06-40X</t>
  </si>
  <si>
    <t>LIB Digital Program</t>
  </si>
  <si>
    <t>22-06-50X</t>
  </si>
  <si>
    <t>LIB Information Technology</t>
  </si>
  <si>
    <t>22-06-60X</t>
  </si>
  <si>
    <t>LIB Preservation</t>
  </si>
  <si>
    <t>22-07-10X</t>
  </si>
  <si>
    <t>22-07-20X</t>
  </si>
  <si>
    <t>22-07-30X</t>
  </si>
  <si>
    <t>22-07-40X</t>
  </si>
  <si>
    <t>22-07-50X</t>
  </si>
  <si>
    <t>22-07-60X</t>
  </si>
  <si>
    <t>22-07-70X</t>
  </si>
  <si>
    <t>22-07-80X</t>
  </si>
  <si>
    <t>22-07-90X</t>
  </si>
  <si>
    <t>22-08-10X</t>
  </si>
  <si>
    <t>22-08-20X</t>
  </si>
  <si>
    <t>22-09-10X</t>
  </si>
  <si>
    <t>40-01-10X</t>
  </si>
  <si>
    <t>40-20-10X</t>
  </si>
  <si>
    <t>40-21-10X</t>
  </si>
  <si>
    <t>40-22-10X</t>
  </si>
  <si>
    <t>40-23-10X</t>
  </si>
  <si>
    <t>40-24-10X</t>
  </si>
  <si>
    <t>40-25-10X</t>
  </si>
  <si>
    <t>40-26-10X</t>
  </si>
  <si>
    <t>40-27-10X</t>
  </si>
  <si>
    <t>40-28-10X</t>
  </si>
  <si>
    <t>40-29-10X</t>
  </si>
  <si>
    <t>40-30-10X</t>
  </si>
  <si>
    <t>40-31-10X</t>
  </si>
  <si>
    <t>40-32-10X</t>
  </si>
  <si>
    <t>40-40-10X</t>
  </si>
  <si>
    <t>40-41-10X</t>
  </si>
  <si>
    <t>40-42-10X</t>
  </si>
  <si>
    <t>40-43-10X</t>
  </si>
  <si>
    <t>40-44-10X</t>
  </si>
  <si>
    <t>40-45-10X</t>
  </si>
  <si>
    <t>40-46-10X</t>
  </si>
  <si>
    <t>40-47-10X</t>
  </si>
  <si>
    <t>40-48-10X</t>
  </si>
  <si>
    <t>40-10-10X</t>
  </si>
  <si>
    <t>40-11-10X</t>
  </si>
  <si>
    <t>40-12-10X</t>
  </si>
  <si>
    <t>40-13-10X</t>
  </si>
  <si>
    <t>40-14-10X</t>
  </si>
  <si>
    <t>40-02-10X</t>
  </si>
  <si>
    <t>41-30-10X</t>
  </si>
  <si>
    <t>41-31-10X</t>
  </si>
  <si>
    <t>41-32-10X</t>
  </si>
  <si>
    <t>41-33-10X</t>
  </si>
  <si>
    <t>41-34-10X</t>
  </si>
  <si>
    <t>41-35-10X</t>
  </si>
  <si>
    <t>41-36-10X</t>
  </si>
  <si>
    <t>41-37-10X</t>
  </si>
  <si>
    <t>41-38-10X</t>
  </si>
  <si>
    <t>41-39-10X</t>
  </si>
  <si>
    <t>41-40-10X</t>
  </si>
  <si>
    <t>41-41-10X</t>
  </si>
  <si>
    <t>41-42-10X</t>
  </si>
  <si>
    <t>41-43-10X</t>
  </si>
  <si>
    <t>41-01-10X</t>
  </si>
  <si>
    <t>41-02-10X</t>
  </si>
  <si>
    <t>41-03-10X</t>
  </si>
  <si>
    <t>41-04-10X</t>
  </si>
  <si>
    <t>41-05-10X</t>
  </si>
  <si>
    <t>41-06-10X</t>
  </si>
  <si>
    <t>41-07-10X</t>
  </si>
  <si>
    <t>41-08-10X</t>
  </si>
  <si>
    <t>41-09-10X</t>
  </si>
  <si>
    <t>41-10-10X</t>
  </si>
  <si>
    <t>41-11-10X</t>
  </si>
  <si>
    <t>41-12-10X</t>
  </si>
  <si>
    <t>41-13-10X</t>
  </si>
  <si>
    <t>41-14-10X</t>
  </si>
  <si>
    <t>41-15-10X</t>
  </si>
  <si>
    <t>41-16-10X</t>
  </si>
  <si>
    <t>41-73-10X</t>
  </si>
  <si>
    <t>41-74-10X</t>
  </si>
  <si>
    <t>41-75-10X</t>
  </si>
  <si>
    <t>41-76-10X</t>
  </si>
  <si>
    <t>41-77-10X</t>
  </si>
  <si>
    <t>41-78-10X</t>
  </si>
  <si>
    <t>41-79-10X</t>
  </si>
  <si>
    <t>41-80-10X</t>
  </si>
  <si>
    <t>41-65-10X</t>
  </si>
  <si>
    <t>41-66-10X</t>
  </si>
  <si>
    <t>41-67-10X</t>
  </si>
  <si>
    <t>44-02-10X</t>
  </si>
  <si>
    <t>44-60-10X</t>
  </si>
  <si>
    <t>44-01-10X</t>
  </si>
  <si>
    <t>44-10-10X</t>
  </si>
  <si>
    <t>SOA Film</t>
  </si>
  <si>
    <t>44-10-20X</t>
  </si>
  <si>
    <t>SOA Theatre</t>
  </si>
  <si>
    <t>44-10-30X</t>
  </si>
  <si>
    <t>SOA Visual Arts</t>
  </si>
  <si>
    <t>44-10-40X</t>
  </si>
  <si>
    <t>SOA Writing</t>
  </si>
  <si>
    <t>45-02-10X</t>
  </si>
  <si>
    <t>45-60-30X</t>
  </si>
  <si>
    <t>CCO Community Development</t>
  </si>
  <si>
    <t>45-60-40X</t>
  </si>
  <si>
    <t>CCO Ctr for Student Advising</t>
  </si>
  <si>
    <t>45-60-20X</t>
  </si>
  <si>
    <t>CCO Enrollment Mgmt</t>
  </si>
  <si>
    <t>45-60-50X</t>
  </si>
  <si>
    <t>CCO General Administration</t>
  </si>
  <si>
    <t>45-61-10X</t>
  </si>
  <si>
    <t>45-62-10X</t>
  </si>
  <si>
    <t>CCO Alumni Affairs</t>
  </si>
  <si>
    <t>45-62-20X</t>
  </si>
  <si>
    <t>CCO Communication</t>
  </si>
  <si>
    <t>45-62-30X</t>
  </si>
  <si>
    <t>CCO Development</t>
  </si>
  <si>
    <t>45-62-40X</t>
  </si>
  <si>
    <t>45-63-10X</t>
  </si>
  <si>
    <t>45-64-20X</t>
  </si>
  <si>
    <t>45-65-30X</t>
  </si>
  <si>
    <t>45-01-10X</t>
  </si>
  <si>
    <t>46-02-70X</t>
  </si>
  <si>
    <t>SCE Curriculum and Instruction</t>
  </si>
  <si>
    <t>46-02-10X</t>
  </si>
  <si>
    <t>SCE Deans Office</t>
  </si>
  <si>
    <t>46-02-60X</t>
  </si>
  <si>
    <t>SCE Development</t>
  </si>
  <si>
    <t>46-02-30X</t>
  </si>
  <si>
    <t>SCE Finance and Administration</t>
  </si>
  <si>
    <t>46-02-20X</t>
  </si>
  <si>
    <t>SCE Program Development</t>
  </si>
  <si>
    <t>46-02-40X</t>
  </si>
  <si>
    <t>SCE Strategic Enrollment Mgmt</t>
  </si>
  <si>
    <t>46-02-50X</t>
  </si>
  <si>
    <t>SCE Student and Alumni Affairs</t>
  </si>
  <si>
    <t>46-10-20X</t>
  </si>
  <si>
    <t>SCE Actuarial Science</t>
  </si>
  <si>
    <t>46-10-30X</t>
  </si>
  <si>
    <t>SCE Bioethics</t>
  </si>
  <si>
    <t>46-10-40X</t>
  </si>
  <si>
    <t>SCE Communications Practice</t>
  </si>
  <si>
    <t>46-10-50X</t>
  </si>
  <si>
    <t>SCE Construction Management</t>
  </si>
  <si>
    <t>46-10-60X</t>
  </si>
  <si>
    <t>SCE Fundraising Management</t>
  </si>
  <si>
    <t>46-10-70X</t>
  </si>
  <si>
    <t>SCE Info and Knowledge Strat</t>
  </si>
  <si>
    <t>46-10-80X</t>
  </si>
  <si>
    <t>SCE Landscape Design</t>
  </si>
  <si>
    <t>46-10-90X</t>
  </si>
  <si>
    <t>SCE Narrative Medicine</t>
  </si>
  <si>
    <t>46-10-10X</t>
  </si>
  <si>
    <t>SCE Program Administration</t>
  </si>
  <si>
    <t>46-11-60X</t>
  </si>
  <si>
    <t>SCE Business</t>
  </si>
  <si>
    <t>46-11-10X</t>
  </si>
  <si>
    <t>SCE Negotia &amp; Conflict Resolu</t>
  </si>
  <si>
    <t>46-11-20X</t>
  </si>
  <si>
    <t>SCE Sports Management</t>
  </si>
  <si>
    <t>46-11-30X</t>
  </si>
  <si>
    <t>SCE Strategic Communications</t>
  </si>
  <si>
    <t>46-11-40X</t>
  </si>
  <si>
    <t>SCE Sustainability Management</t>
  </si>
  <si>
    <t>46-11-50X</t>
  </si>
  <si>
    <t>SCE Technology Management</t>
  </si>
  <si>
    <t>46-12-20X</t>
  </si>
  <si>
    <t>SCE American Language Program</t>
  </si>
  <si>
    <t>46-12-10X</t>
  </si>
  <si>
    <t>SCE High School Programs</t>
  </si>
  <si>
    <t>46-12-30X</t>
  </si>
  <si>
    <t>SCE Post Baccalaureate</t>
  </si>
  <si>
    <t>46-12-40X</t>
  </si>
  <si>
    <t>SCE Summer Sessions</t>
  </si>
  <si>
    <t>47-02-10X</t>
  </si>
  <si>
    <t>GNS Planning &amp; Administration</t>
  </si>
  <si>
    <t>47-02-20X</t>
  </si>
  <si>
    <t>GNS Special Projs &amp; Vet Affrs</t>
  </si>
  <si>
    <t>47-03-10X</t>
  </si>
  <si>
    <t>47-10-20X</t>
  </si>
  <si>
    <t>GNS Dean of Students</t>
  </si>
  <si>
    <t>47-10-10X</t>
  </si>
  <si>
    <t>GNS Postbac</t>
  </si>
  <si>
    <t>47-01-10X</t>
  </si>
  <si>
    <t>48-02-10X</t>
  </si>
  <si>
    <t>GSA Academic Affairs</t>
  </si>
  <si>
    <t>48-02-30X</t>
  </si>
  <si>
    <t>GSA Planning &amp; Administration</t>
  </si>
  <si>
    <t>48-02-20X</t>
  </si>
  <si>
    <t>GSA Student Affairs</t>
  </si>
  <si>
    <t>48-60-10X</t>
  </si>
  <si>
    <t>48-61-10X</t>
  </si>
  <si>
    <t>48-62-10X</t>
  </si>
  <si>
    <t>48-63-10X</t>
  </si>
  <si>
    <t>48-64-10X</t>
  </si>
  <si>
    <t>48-65-10X</t>
  </si>
  <si>
    <t>48-66-10X</t>
  </si>
  <si>
    <t>48-67-10X</t>
  </si>
  <si>
    <t>48-68-10X</t>
  </si>
  <si>
    <t>48-69-10X</t>
  </si>
  <si>
    <t>48-70-10X</t>
  </si>
  <si>
    <t>48-71-10X</t>
  </si>
  <si>
    <t>48-72-10X</t>
  </si>
  <si>
    <t>48-73-10X</t>
  </si>
  <si>
    <t>48-74-10X</t>
  </si>
  <si>
    <t>48-75-10X</t>
  </si>
  <si>
    <t>48-76-10X</t>
  </si>
  <si>
    <t>48-77-10X</t>
  </si>
  <si>
    <t>48-79-10X</t>
  </si>
  <si>
    <t>GSA French Cultural Studies</t>
  </si>
  <si>
    <t>48-80-10X</t>
  </si>
  <si>
    <t>48-01-10X</t>
  </si>
  <si>
    <t>48-20-10X</t>
  </si>
  <si>
    <t>48-21-10X</t>
  </si>
  <si>
    <t>48-22-10X</t>
  </si>
  <si>
    <t>48-23-10X</t>
  </si>
  <si>
    <t>48-24-10X</t>
  </si>
  <si>
    <t>48-25-10X</t>
  </si>
  <si>
    <t>48-26-10X</t>
  </si>
  <si>
    <t>48-27-10X</t>
  </si>
  <si>
    <t>48-28-10X</t>
  </si>
  <si>
    <t>48-29-10X</t>
  </si>
  <si>
    <t>48-30-10X</t>
  </si>
  <si>
    <t>48-31-10X</t>
  </si>
  <si>
    <t>48-32-10X</t>
  </si>
  <si>
    <t>48-33-10X</t>
  </si>
  <si>
    <t>48-40-10X</t>
  </si>
  <si>
    <t>48-41-10X</t>
  </si>
  <si>
    <t>48-42-10X</t>
  </si>
  <si>
    <t>48-43-10X</t>
  </si>
  <si>
    <t>48-44-10X</t>
  </si>
  <si>
    <t>48-45-10X</t>
  </si>
  <si>
    <t>48-46-10X</t>
  </si>
  <si>
    <t>48-47-10X</t>
  </si>
  <si>
    <t>48-48-10X</t>
  </si>
  <si>
    <t>48-49-10X</t>
  </si>
  <si>
    <t>48-10-10X</t>
  </si>
  <si>
    <t>48-11-10X</t>
  </si>
  <si>
    <t>48-12-10X</t>
  </si>
  <si>
    <t>48-13-10X</t>
  </si>
  <si>
    <t>48-14-10X</t>
  </si>
  <si>
    <t>48-15-10X</t>
  </si>
  <si>
    <t>60-03-50X</t>
  </si>
  <si>
    <t>EIL Administration</t>
  </si>
  <si>
    <t>60-03-20X</t>
  </si>
  <si>
    <t>EIL Development</t>
  </si>
  <si>
    <t>60-03-10X</t>
  </si>
  <si>
    <t>EIL Director's Office</t>
  </si>
  <si>
    <t>60-03-40X</t>
  </si>
  <si>
    <t>EIL Facilities and Engineering</t>
  </si>
  <si>
    <t>60-03-30X</t>
  </si>
  <si>
    <t>EIL Information Technology</t>
  </si>
  <si>
    <t>60-10-10X</t>
  </si>
  <si>
    <t>EIL Biology and Paleo Environ</t>
  </si>
  <si>
    <t>60-10-20X</t>
  </si>
  <si>
    <t>EIL Geochemistry</t>
  </si>
  <si>
    <t>60-10-30X</t>
  </si>
  <si>
    <t>EIL Marine Geology &amp; Geophys</t>
  </si>
  <si>
    <t>60-10-40X</t>
  </si>
  <si>
    <t>EIL Ocean and Climate Physics</t>
  </si>
  <si>
    <t>60-10-60X</t>
  </si>
  <si>
    <t>EIL Office Of Marine Opers</t>
  </si>
  <si>
    <t>60-10-50X</t>
  </si>
  <si>
    <t>EIL Seismology, Geo&amp;Tectonphys</t>
  </si>
  <si>
    <t>60-01-10X</t>
  </si>
  <si>
    <t>EIM Earth Inst (EI) General</t>
  </si>
  <si>
    <t>60-02-30X</t>
  </si>
  <si>
    <t>EIM Communications</t>
  </si>
  <si>
    <t>60-02-50X</t>
  </si>
  <si>
    <t>EIM Development</t>
  </si>
  <si>
    <t>60-02-20X</t>
  </si>
  <si>
    <t>EIM Director's Office</t>
  </si>
  <si>
    <t>60-02-10X</t>
  </si>
  <si>
    <t>EIM Exec Director's Office</t>
  </si>
  <si>
    <t>60-02-40X</t>
  </si>
  <si>
    <t>EIM Finance and Administration</t>
  </si>
  <si>
    <t>60-60-50X</t>
  </si>
  <si>
    <t>EIM CERC</t>
  </si>
  <si>
    <t>60-60-40X</t>
  </si>
  <si>
    <t>EIM CSUD</t>
  </si>
  <si>
    <t>60-60-20X</t>
  </si>
  <si>
    <t>EIM Ctr for Climate Systm Rsch</t>
  </si>
  <si>
    <t>60-60-90X</t>
  </si>
  <si>
    <t>EIM Haiti Group</t>
  </si>
  <si>
    <t>60-60-80X</t>
  </si>
  <si>
    <t>EIM Millennium Cities Initiat</t>
  </si>
  <si>
    <t>60-60-70X</t>
  </si>
  <si>
    <t>EIM Nigeria Group</t>
  </si>
  <si>
    <t>60-60-60X</t>
  </si>
  <si>
    <t>EIM TAP</t>
  </si>
  <si>
    <t>60-60-30X</t>
  </si>
  <si>
    <t>EIM Urban Des Lab Sus Develop</t>
  </si>
  <si>
    <t>60-60-10X</t>
  </si>
  <si>
    <t>EIM VCC</t>
  </si>
  <si>
    <t>60-61-10X</t>
  </si>
  <si>
    <t>EIM AC4</t>
  </si>
  <si>
    <t>60-61-70X</t>
  </si>
  <si>
    <t>EIM CGHED</t>
  </si>
  <si>
    <t>60-61-60X</t>
  </si>
  <si>
    <t>EIM CGSD</t>
  </si>
  <si>
    <t>60-61-90X</t>
  </si>
  <si>
    <t>EIM CIESIN</t>
  </si>
  <si>
    <t>60-61-40X</t>
  </si>
  <si>
    <t>EIM CRED</t>
  </si>
  <si>
    <t>60-61-20X</t>
  </si>
  <si>
    <t>EIM Columbia Climate Ctr (CCC)</t>
  </si>
  <si>
    <t>60-61-50X</t>
  </si>
  <si>
    <t>EIM Earth Engr Ctr (EEC)</t>
  </si>
  <si>
    <t>60-61-80X</t>
  </si>
  <si>
    <t>EIM IRI</t>
  </si>
  <si>
    <t>60-61-30X</t>
  </si>
  <si>
    <t>EIM LCSE</t>
  </si>
  <si>
    <t>60-62-40X</t>
  </si>
  <si>
    <t>EIM CSSR</t>
  </si>
  <si>
    <t>60-62-10X</t>
  </si>
  <si>
    <t>EIM Columbia Water Ctr (CWC)</t>
  </si>
  <si>
    <t>60-62-50X</t>
  </si>
  <si>
    <t>EIM Connect to Learn</t>
  </si>
  <si>
    <t>60-62-30X</t>
  </si>
  <si>
    <t>EIM Director's Disc Fund (DDF)</t>
  </si>
  <si>
    <t>60-62-20X</t>
  </si>
  <si>
    <t>EIM OARP</t>
  </si>
  <si>
    <t>60-63-30X</t>
  </si>
  <si>
    <t>EIM CIPT</t>
  </si>
  <si>
    <t>60-63-10X</t>
  </si>
  <si>
    <t>EIM MDG West</t>
  </si>
  <si>
    <t>60-63-20X</t>
  </si>
  <si>
    <t>EIM SAP</t>
  </si>
  <si>
    <t>64-11-10X</t>
  </si>
  <si>
    <t>64-13-10X</t>
  </si>
  <si>
    <t>64-10-10X</t>
  </si>
  <si>
    <t>64-14-20X</t>
  </si>
  <si>
    <t>MIL Arts Initiative</t>
  </si>
  <si>
    <t>64-14-10X</t>
  </si>
  <si>
    <t>64-12-10X</t>
  </si>
  <si>
    <t>50-02-10X</t>
  </si>
  <si>
    <t>ARH School Administration</t>
  </si>
  <si>
    <t>50-02-20X</t>
  </si>
  <si>
    <t>ARH Student Support</t>
  </si>
  <si>
    <t>50-61-10X</t>
  </si>
  <si>
    <t>ARH Centers</t>
  </si>
  <si>
    <t>50-61-20X</t>
  </si>
  <si>
    <t>ARH Laboratories</t>
  </si>
  <si>
    <t>50-60-10X</t>
  </si>
  <si>
    <t>50-01-10X</t>
  </si>
  <si>
    <t>50-10-10X</t>
  </si>
  <si>
    <t>ARH Architecture Programs</t>
  </si>
  <si>
    <t>50-10-60X</t>
  </si>
  <si>
    <t>ARH CritCuratorial&amp;ConceptPrac</t>
  </si>
  <si>
    <t>50-10-40X</t>
  </si>
  <si>
    <t>ARH Historic Preservation</t>
  </si>
  <si>
    <t>50-10-80X</t>
  </si>
  <si>
    <t>ARH Non-Degree Programs</t>
  </si>
  <si>
    <t>50-10-70X</t>
  </si>
  <si>
    <t>ARH PhD Programs</t>
  </si>
  <si>
    <t>50-10-50X</t>
  </si>
  <si>
    <t>ARH Real Estate Development</t>
  </si>
  <si>
    <t>50-10-20X</t>
  </si>
  <si>
    <t>ARH Urban Design</t>
  </si>
  <si>
    <t>50-10-30X</t>
  </si>
  <si>
    <t>ARH Urban Planning</t>
  </si>
  <si>
    <t>51-60-10X</t>
  </si>
  <si>
    <t>51-61-10X</t>
  </si>
  <si>
    <t>51-01-10X</t>
  </si>
  <si>
    <t>51-10-10X</t>
  </si>
  <si>
    <t>BUS Accounting</t>
  </si>
  <si>
    <t>51-10-50X</t>
  </si>
  <si>
    <t>BUS Decision, Risk and Opers</t>
  </si>
  <si>
    <t>51-10-60X</t>
  </si>
  <si>
    <t>BUS Executive Education</t>
  </si>
  <si>
    <t>51-10-20X</t>
  </si>
  <si>
    <t>BUS Finance &amp; Economics</t>
  </si>
  <si>
    <t>51-10-40X</t>
  </si>
  <si>
    <t>BUS Management</t>
  </si>
  <si>
    <t>51-10-30X</t>
  </si>
  <si>
    <t>BUS Marketing</t>
  </si>
  <si>
    <t>51-02-10X</t>
  </si>
  <si>
    <t>52-02-10X</t>
  </si>
  <si>
    <t>52-60-20X</t>
  </si>
  <si>
    <t>ENG CCLS</t>
  </si>
  <si>
    <t>52-60-10X</t>
  </si>
  <si>
    <t>ENG CISE</t>
  </si>
  <si>
    <t>52-60-30X</t>
  </si>
  <si>
    <t>ENG GISS</t>
  </si>
  <si>
    <t>52-01-10X</t>
  </si>
  <si>
    <t>52-10-10X</t>
  </si>
  <si>
    <t>52-10-20X</t>
  </si>
  <si>
    <t>ENG Material Science</t>
  </si>
  <si>
    <t>52-11-10X</t>
  </si>
  <si>
    <t>52-12-10X</t>
  </si>
  <si>
    <t>ENG Civil Engr  &amp; Engr Mech</t>
  </si>
  <si>
    <t>52-13-10X</t>
  </si>
  <si>
    <t>52-14-10X</t>
  </si>
  <si>
    <t>52-15-10X</t>
  </si>
  <si>
    <t>52-16-10X</t>
  </si>
  <si>
    <t>52-17-10X</t>
  </si>
  <si>
    <t>52-18-10X</t>
  </si>
  <si>
    <t>54-02-10X</t>
  </si>
  <si>
    <t>54-03-10X</t>
  </si>
  <si>
    <t>54-04-10X</t>
  </si>
  <si>
    <t>54-05-10X</t>
  </si>
  <si>
    <t>54-06-10X</t>
  </si>
  <si>
    <t>54-60-20X</t>
  </si>
  <si>
    <t>JRN Dart Center</t>
  </si>
  <si>
    <t>54-60-10X</t>
  </si>
  <si>
    <t>54-61-10X</t>
  </si>
  <si>
    <t>54-01-10X</t>
  </si>
  <si>
    <t>54-10-10X</t>
  </si>
  <si>
    <t>JRN Academics</t>
  </si>
  <si>
    <t>54-10-20X</t>
  </si>
  <si>
    <t>JRN Centers</t>
  </si>
  <si>
    <t>55-02-10X</t>
  </si>
  <si>
    <t>55-60-10X</t>
  </si>
  <si>
    <t>55-01-10X</t>
  </si>
  <si>
    <t>55-30-10X</t>
  </si>
  <si>
    <t>55-10-10X</t>
  </si>
  <si>
    <t>56-02-10X</t>
  </si>
  <si>
    <t>56-60-10X</t>
  </si>
  <si>
    <t>56-61-10X</t>
  </si>
  <si>
    <t>56-62-10X</t>
  </si>
  <si>
    <t>56-63-10X</t>
  </si>
  <si>
    <t>56-64-10X</t>
  </si>
  <si>
    <t>56-01-10X</t>
  </si>
  <si>
    <t>56-10-10X</t>
  </si>
  <si>
    <t>IPA SIPA Faculty</t>
  </si>
  <si>
    <t>57-02-10X</t>
  </si>
  <si>
    <t>57-03-10X</t>
  </si>
  <si>
    <t>57-04-10X</t>
  </si>
  <si>
    <t>57-05-10X</t>
  </si>
  <si>
    <t>57-06-10X</t>
  </si>
  <si>
    <t>57-07-10X</t>
  </si>
  <si>
    <t>57-08-10X</t>
  </si>
  <si>
    <t>57-01-10X</t>
  </si>
  <si>
    <t>57-10-10X</t>
  </si>
  <si>
    <t>57-11-20X</t>
  </si>
  <si>
    <t>SSW Academic Affairs</t>
  </si>
  <si>
    <t>57-11-10X</t>
  </si>
  <si>
    <t>SSW Research Support</t>
  </si>
  <si>
    <t>57-60-10X</t>
  </si>
  <si>
    <t>57-61-10X</t>
  </si>
  <si>
    <t>57-62-10X</t>
  </si>
  <si>
    <t>57-63-10X</t>
  </si>
  <si>
    <t>7003XXX</t>
  </si>
  <si>
    <t>7006XXX</t>
  </si>
  <si>
    <t>7007XXX</t>
  </si>
  <si>
    <t>7008XXX</t>
  </si>
  <si>
    <t>7004XXX</t>
  </si>
  <si>
    <t>7001XXX</t>
  </si>
  <si>
    <t>7099XXX</t>
  </si>
  <si>
    <t>7002XXX</t>
  </si>
  <si>
    <t>7501XXX</t>
  </si>
  <si>
    <t>7502XXX</t>
  </si>
  <si>
    <t>7503XXX</t>
  </si>
  <si>
    <t>7504XXX</t>
  </si>
  <si>
    <t>7505XXX</t>
  </si>
  <si>
    <t>7506XXX</t>
  </si>
  <si>
    <t>7507XXX</t>
  </si>
  <si>
    <t>7508XXX</t>
  </si>
  <si>
    <t>7509XXX</t>
  </si>
  <si>
    <t>7561XXX</t>
  </si>
  <si>
    <t>7562XXX</t>
  </si>
  <si>
    <t>7563XXX</t>
  </si>
  <si>
    <t>7564XXX</t>
  </si>
  <si>
    <t>7565XXX</t>
  </si>
  <si>
    <t>7566XXX</t>
  </si>
  <si>
    <t>7567XXX</t>
  </si>
  <si>
    <t>7510XXX</t>
  </si>
  <si>
    <t>7512XXX</t>
  </si>
  <si>
    <t>7514XXX</t>
  </si>
  <si>
    <t>7518XXX</t>
  </si>
  <si>
    <t>7521XXX</t>
  </si>
  <si>
    <t>7522XXX</t>
  </si>
  <si>
    <t>7524XXX</t>
  </si>
  <si>
    <t>7527XXX</t>
  </si>
  <si>
    <t>7530XXX</t>
  </si>
  <si>
    <t>7003xxx</t>
  </si>
  <si>
    <t>7006xxx</t>
  </si>
  <si>
    <t>7007xxx</t>
  </si>
  <si>
    <t>7008xxx</t>
  </si>
  <si>
    <t>7004xxx</t>
  </si>
  <si>
    <t>7001xxx</t>
  </si>
  <si>
    <t>7099xxx</t>
  </si>
  <si>
    <t>7002xxx</t>
  </si>
  <si>
    <t>7501xxx</t>
  </si>
  <si>
    <t>7502xxx</t>
  </si>
  <si>
    <t>7503xxx</t>
  </si>
  <si>
    <t>7504xxx</t>
  </si>
  <si>
    <t>7505xxx</t>
  </si>
  <si>
    <t>7506xxx</t>
  </si>
  <si>
    <t>7507xxx</t>
  </si>
  <si>
    <t>7508xxx</t>
  </si>
  <si>
    <t>7509xxx</t>
  </si>
  <si>
    <t>7561xxx</t>
  </si>
  <si>
    <t>7562xxx</t>
  </si>
  <si>
    <t>7563xxx</t>
  </si>
  <si>
    <t>7564xxx</t>
  </si>
  <si>
    <t>7565xxx</t>
  </si>
  <si>
    <t>7566xxx</t>
  </si>
  <si>
    <t>7567xxx</t>
  </si>
  <si>
    <t>7510xxx</t>
  </si>
  <si>
    <t>7512xxx</t>
  </si>
  <si>
    <t>7514xxx</t>
  </si>
  <si>
    <t>7518xxx</t>
  </si>
  <si>
    <t>7521xxx</t>
  </si>
  <si>
    <t>7522xxx</t>
  </si>
  <si>
    <t>7524xxx</t>
  </si>
  <si>
    <t>7527xxx</t>
  </si>
  <si>
    <t>7530xxx</t>
  </si>
  <si>
    <t>1010xxx</t>
  </si>
  <si>
    <t>1002xxx</t>
  </si>
  <si>
    <t>1208xxx</t>
  </si>
  <si>
    <t>1203xxx</t>
  </si>
  <si>
    <t>1204xxx</t>
  </si>
  <si>
    <t>1206xxx</t>
  </si>
  <si>
    <t>1207xxx</t>
  </si>
  <si>
    <t>1205xxx</t>
  </si>
  <si>
    <t>1201xxx</t>
  </si>
  <si>
    <t>1202xxx</t>
  </si>
  <si>
    <t>6111xxx</t>
  </si>
  <si>
    <t>6413xxx</t>
  </si>
  <si>
    <t>6410xxx</t>
  </si>
  <si>
    <t>6414xxx</t>
  </si>
  <si>
    <t>6412xxx</t>
  </si>
  <si>
    <t>5602xxx</t>
  </si>
  <si>
    <t>5660xxx</t>
  </si>
  <si>
    <t>5661xxx</t>
  </si>
  <si>
    <t>5662xxx</t>
  </si>
  <si>
    <t>5663xxx</t>
  </si>
  <si>
    <t>5664xxx</t>
  </si>
  <si>
    <t>5601xxx</t>
  </si>
  <si>
    <t>5610xxx</t>
  </si>
  <si>
    <t>1020xxx</t>
  </si>
  <si>
    <t>12081xx</t>
  </si>
  <si>
    <t>12082xx</t>
  </si>
  <si>
    <t>12033xx</t>
  </si>
  <si>
    <t>12032xx</t>
  </si>
  <si>
    <t>12031xx</t>
  </si>
  <si>
    <t>12034xx</t>
  </si>
  <si>
    <t>12072xx</t>
  </si>
  <si>
    <t>12071xx</t>
  </si>
  <si>
    <t>12052xx</t>
  </si>
  <si>
    <t>12053xx</t>
  </si>
  <si>
    <t>12051xx</t>
  </si>
  <si>
    <t>12055xx</t>
  </si>
  <si>
    <t>12057xx</t>
  </si>
  <si>
    <t>12054xx</t>
  </si>
  <si>
    <t>12056xx</t>
  </si>
  <si>
    <t>12013xx</t>
  </si>
  <si>
    <t>12011xx</t>
  </si>
  <si>
    <t>12012xx</t>
  </si>
  <si>
    <t>12014xx</t>
  </si>
  <si>
    <t>12015xx</t>
  </si>
  <si>
    <t>1410xxx</t>
  </si>
  <si>
    <t>14112xx</t>
  </si>
  <si>
    <t>14116xx</t>
  </si>
  <si>
    <t>14115xx</t>
  </si>
  <si>
    <t>14113xx</t>
  </si>
  <si>
    <t>14111xx</t>
  </si>
  <si>
    <t>14114xx</t>
  </si>
  <si>
    <t>1412xxx</t>
  </si>
  <si>
    <t>1414xxx</t>
  </si>
  <si>
    <t>1416xxx</t>
  </si>
  <si>
    <t>1418xxx</t>
  </si>
  <si>
    <t>1635xxx</t>
  </si>
  <si>
    <t>16364xx</t>
  </si>
  <si>
    <t>16362xx</t>
  </si>
  <si>
    <t>16363xx</t>
  </si>
  <si>
    <t>16361xx</t>
  </si>
  <si>
    <t>1640xxx</t>
  </si>
  <si>
    <t>1602xxx</t>
  </si>
  <si>
    <t>25802xx</t>
  </si>
  <si>
    <t>25801xx</t>
  </si>
  <si>
    <t>25812xx</t>
  </si>
  <si>
    <t>25811xx</t>
  </si>
  <si>
    <t>25022xx</t>
  </si>
  <si>
    <t>25021xx</t>
  </si>
  <si>
    <t>25023xx</t>
  </si>
  <si>
    <t>10101xx</t>
  </si>
  <si>
    <t>10021xx</t>
  </si>
  <si>
    <t>ARC Department #</t>
  </si>
  <si>
    <t>PCD/PSS/NEX/STP Speedchart Base</t>
  </si>
  <si>
    <t>used when setting up any new Speedchart for thses systems in ARC.  Any Speedcharts that do no contain this naming</t>
  </si>
  <si>
    <t>covention will be denied and the user will be asked to resubmit their application containing the proper Speedchart.</t>
  </si>
  <si>
    <t>NextSource/P-Card/PSS/Staples Naming Convention List</t>
  </si>
  <si>
    <t xml:space="preserve">for NextSource, P-Card, PSS and Staples. </t>
  </si>
  <si>
    <t>Department/School.</t>
  </si>
  <si>
    <r>
      <rPr>
        <sz val="10"/>
        <color theme="1"/>
        <rFont val="Times New Roman"/>
        <family val="1"/>
      </rPr>
      <t>►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  <scheme val="minor"/>
      </rPr>
      <t>Column C (</t>
    </r>
    <r>
      <rPr>
        <u/>
        <sz val="10"/>
        <color theme="1"/>
        <rFont val="Calibri"/>
        <family val="2"/>
        <scheme val="minor"/>
      </rPr>
      <t>PCD/PSS/NEX/STP Speedchart Base</t>
    </r>
    <r>
      <rPr>
        <sz val="10"/>
        <color theme="1"/>
        <rFont val="Calibri"/>
        <family val="2"/>
        <scheme val="minor"/>
      </rPr>
      <t>) provides the standard naming covention for Speedchart setup in ARC</t>
    </r>
  </si>
  <si>
    <r>
      <rPr>
        <sz val="10"/>
        <color theme="1"/>
        <rFont val="Times New Roman"/>
        <family val="1"/>
      </rPr>
      <t>►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  <scheme val="minor"/>
      </rPr>
      <t xml:space="preserve">Each Department/School across the University has been provided with a unique Speedchart Base which </t>
    </r>
    <r>
      <rPr>
        <b/>
        <u/>
        <sz val="10"/>
        <color theme="1"/>
        <rFont val="Calibri"/>
        <family val="2"/>
        <scheme val="minor"/>
      </rPr>
      <t>MUST</t>
    </r>
    <r>
      <rPr>
        <sz val="10"/>
        <color theme="1"/>
        <rFont val="Calibri"/>
        <family val="2"/>
        <scheme val="minor"/>
      </rPr>
      <t xml:space="preserve"> be used</t>
    </r>
  </si>
  <si>
    <r>
      <rPr>
        <sz val="10"/>
        <color theme="1"/>
        <rFont val="Times New Roman"/>
        <family val="1"/>
      </rPr>
      <t>►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  <scheme val="minor"/>
      </rPr>
      <t xml:space="preserve">All Speedcharts </t>
    </r>
    <r>
      <rPr>
        <b/>
        <u/>
        <sz val="10"/>
        <color theme="1"/>
        <rFont val="Calibri"/>
        <family val="2"/>
        <scheme val="minor"/>
      </rPr>
      <t>MUST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be ten (10) characters and begin with the proper Speedchart Base for the applicable</t>
    </r>
  </si>
  <si>
    <r>
      <rPr>
        <sz val="10"/>
        <color theme="1"/>
        <rFont val="Times New Roman"/>
        <family val="1"/>
      </rPr>
      <t>►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  <scheme val="minor"/>
      </rPr>
      <t>When creating a Speedchart from the Speedchart Base, a user may alter the two characters at the end of the Speedchart Base</t>
    </r>
  </si>
  <si>
    <r>
      <rPr>
        <sz val="10"/>
        <color theme="1"/>
        <rFont val="Times New Roman"/>
        <family val="1"/>
      </rPr>
      <t>►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  <scheme val="minor"/>
      </rPr>
      <t>Each Department/School is responsible for maintaining a list of the Speedcharts created by  their Department/School</t>
    </r>
  </si>
  <si>
    <r>
      <rPr>
        <sz val="10"/>
        <color theme="1"/>
        <rFont val="Times New Roman"/>
        <family val="1"/>
      </rPr>
      <t>►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  <scheme val="minor"/>
      </rPr>
      <t xml:space="preserve">If you have any questions about the naming convention for a particular system (NextSource, P-Card, etc.) please use </t>
    </r>
    <r>
      <rPr>
        <i/>
        <sz val="10"/>
        <color theme="1"/>
        <rFont val="Calibri"/>
        <family val="2"/>
        <scheme val="minor"/>
      </rPr>
      <t>Service</t>
    </r>
  </si>
  <si>
    <r>
      <rPr>
        <i/>
        <sz val="10"/>
        <color theme="1"/>
        <rFont val="Calibri"/>
        <family val="2"/>
        <scheme val="minor"/>
      </rPr>
      <t>Now</t>
    </r>
    <r>
      <rPr>
        <sz val="10"/>
        <color theme="1"/>
        <rFont val="Calibri"/>
        <family val="2"/>
        <scheme val="minor"/>
      </rPr>
      <t xml:space="preserve"> to have your issue addressed.</t>
    </r>
  </si>
  <si>
    <r>
      <rPr>
        <sz val="10"/>
        <color theme="1"/>
        <rFont val="Times New Roman"/>
        <family val="1"/>
      </rPr>
      <t>►</t>
    </r>
    <r>
      <rPr>
        <sz val="10"/>
        <color theme="1"/>
        <rFont val="Calibri"/>
        <family val="2"/>
      </rPr>
      <t xml:space="preserve"> </t>
    </r>
    <r>
      <rPr>
        <sz val="10"/>
        <color theme="1"/>
        <rFont val="Calibri"/>
        <family val="2"/>
        <scheme val="minor"/>
      </rPr>
      <t>The characters that may be altered may contain any combination of numbers and letters up to two (2) characters</t>
    </r>
  </si>
  <si>
    <r>
      <t>to create a unique Speedchart (</t>
    </r>
    <r>
      <rPr>
        <i/>
        <sz val="10"/>
        <color theme="1"/>
        <rFont val="Calibri"/>
        <family val="2"/>
        <scheme val="minor"/>
      </rPr>
      <t xml:space="preserve">i.e. 70032xx </t>
    </r>
    <r>
      <rPr>
        <sz val="10"/>
        <color theme="1"/>
        <rFont val="Calibri"/>
        <family val="2"/>
      </rPr>
      <t>→</t>
    </r>
    <r>
      <rPr>
        <i/>
        <sz val="10"/>
        <color theme="1"/>
        <rFont val="Calibri"/>
        <family val="2"/>
      </rPr>
      <t xml:space="preserve"> </t>
    </r>
    <r>
      <rPr>
        <i/>
        <sz val="10"/>
        <color theme="1"/>
        <rFont val="Calibri"/>
        <family val="2"/>
        <scheme val="minor"/>
      </rPr>
      <t>PSS7003201</t>
    </r>
    <r>
      <rPr>
        <sz val="10"/>
        <color theme="1"/>
        <rFont val="Calibri"/>
        <family val="2"/>
        <scheme val="minor"/>
      </rPr>
      <t>).</t>
    </r>
  </si>
  <si>
    <r>
      <t>(</t>
    </r>
    <r>
      <rPr>
        <i/>
        <sz val="10"/>
        <color theme="1"/>
        <rFont val="Calibri"/>
        <family val="2"/>
        <scheme val="minor"/>
      </rPr>
      <t xml:space="preserve">i.e. 70031xx </t>
    </r>
    <r>
      <rPr>
        <sz val="10"/>
        <color theme="1"/>
        <rFont val="Calibri"/>
        <family val="2"/>
      </rPr>
      <t>→</t>
    </r>
    <r>
      <rPr>
        <i/>
        <sz val="10"/>
        <color theme="1"/>
        <rFont val="Calibri"/>
        <family val="2"/>
      </rPr>
      <t xml:space="preserve"> </t>
    </r>
    <r>
      <rPr>
        <i/>
        <sz val="10"/>
        <color theme="1"/>
        <rFont val="Calibri"/>
        <family val="2"/>
        <scheme val="minor"/>
      </rPr>
      <t>STP70031A1</t>
    </r>
    <r>
      <rPr>
        <sz val="10"/>
        <color theme="1"/>
        <rFont val="Calibri"/>
        <family val="2"/>
        <scheme val="minor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</si>
</sst>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Unicode MS"/>
      <family val="2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0"/>
      <name val="Arial Unicode MS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</font>
    <font>
      <u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</borders>
  <cellStyleXfs count="470">
    <xf numFmtId="0" fontId="0" fillId="0" borderId="0"/>
    <xf numFmtId="0" fontId="3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7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2" borderId="1" applyNumberFormat="0" applyFont="0" applyAlignment="0" applyProtection="0"/>
    <xf numFmtId="9" fontId="6" fillId="0" borderId="0" applyFont="0" applyFill="0" applyBorder="0" applyAlignment="0" applyProtection="0"/>
  </cellStyleXfs>
  <cellXfs count="26">
    <xf numFmtId="0" fontId="0" fillId="0" borderId="0" xfId="0"/>
    <xf numFmtId="0" fontId="2" fillId="3" borderId="2" xfId="0" applyNumberFormat="1" applyFont="1" applyFill="1" applyBorder="1" applyAlignment="1"/>
    <xf numFmtId="0" fontId="2" fillId="3" borderId="3" xfId="0" applyNumberFormat="1" applyFont="1" applyFill="1" applyBorder="1" applyAlignment="1"/>
    <xf numFmtId="49" fontId="3" fillId="0" borderId="0" xfId="1" applyNumberFormat="1"/>
    <xf numFmtId="0" fontId="0" fillId="0" borderId="0" xfId="0" applyFont="1" applyBorder="1"/>
    <xf numFmtId="0" fontId="0" fillId="0" borderId="0" xfId="0" applyNumberFormat="1"/>
    <xf numFmtId="0" fontId="2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49" fontId="5" fillId="0" borderId="0" xfId="0" quotePrefix="1" applyNumberFormat="1" applyFont="1" applyFill="1" applyBorder="1" applyAlignment="1"/>
    <xf numFmtId="49" fontId="0" fillId="0" borderId="0" xfId="0" applyNumberFormat="1" applyFont="1" applyFill="1" applyBorder="1" applyAlignment="1"/>
    <xf numFmtId="0" fontId="0" fillId="0" borderId="0" xfId="0" applyFill="1"/>
    <xf numFmtId="0" fontId="0" fillId="0" borderId="0" xfId="0" applyAlignment="1">
      <alignment horizontal="center"/>
    </xf>
    <xf numFmtId="0" fontId="2" fillId="3" borderId="4" xfId="0" applyNumberFormat="1" applyFont="1" applyFill="1" applyBorder="1" applyAlignment="1"/>
    <xf numFmtId="0" fontId="2" fillId="3" borderId="5" xfId="0" applyNumberFormat="1" applyFont="1" applyFill="1" applyBorder="1" applyAlignment="1">
      <alignment horizontal="center" wrapText="1"/>
    </xf>
    <xf numFmtId="0" fontId="0" fillId="0" borderId="7" xfId="0" applyBorder="1"/>
    <xf numFmtId="0" fontId="0" fillId="0" borderId="8" xfId="0" applyBorder="1" applyAlignment="1">
      <alignment horizontal="center"/>
    </xf>
    <xf numFmtId="49" fontId="3" fillId="0" borderId="9" xfId="1" applyNumberFormat="1" applyBorder="1"/>
    <xf numFmtId="0" fontId="0" fillId="0" borderId="10" xfId="0" applyBorder="1"/>
    <xf numFmtId="0" fontId="0" fillId="0" borderId="11" xfId="0" applyBorder="1" applyAlignment="1">
      <alignment horizontal="center"/>
    </xf>
    <xf numFmtId="49" fontId="3" fillId="0" borderId="12" xfId="1" applyNumberFormat="1" applyBorder="1"/>
    <xf numFmtId="0" fontId="2" fillId="3" borderId="6" xfId="0" applyNumberFormat="1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/>
    <xf numFmtId="0" fontId="11" fillId="0" borderId="0" xfId="0" applyFont="1" applyBorder="1" applyAlignment="1"/>
    <xf numFmtId="0" fontId="12" fillId="0" borderId="0" xfId="0" applyFont="1" applyAlignment="1">
      <alignment horizontal="left"/>
    </xf>
    <xf numFmtId="0" fontId="11" fillId="0" borderId="13" xfId="0" applyFont="1" applyBorder="1" applyAlignment="1">
      <alignment horizontal="center"/>
    </xf>
  </cellXfs>
  <cellStyles count="470">
    <cellStyle name="Comma 2" xfId="2"/>
    <cellStyle name="Comma 3" xfId="3"/>
    <cellStyle name="Currency 2" xfId="4"/>
    <cellStyle name="Currency 3" xfId="5"/>
    <cellStyle name="Normal" xfId="0" builtinId="0"/>
    <cellStyle name="Normal 10" xfId="6"/>
    <cellStyle name="Normal 10 2" xfId="7"/>
    <cellStyle name="Normal 11" xfId="8"/>
    <cellStyle name="Normal 12" xfId="9"/>
    <cellStyle name="Normal 12 10" xfId="10"/>
    <cellStyle name="Normal 12 10 2" xfId="11"/>
    <cellStyle name="Normal 13" xfId="12"/>
    <cellStyle name="Normal 13 2" xfId="13"/>
    <cellStyle name="Normal 14" xfId="14"/>
    <cellStyle name="Normal 14 2" xfId="15"/>
    <cellStyle name="Normal 15" xfId="16"/>
    <cellStyle name="Normal 15 2" xfId="17"/>
    <cellStyle name="Normal 16" xfId="18"/>
    <cellStyle name="Normal 17" xfId="19"/>
    <cellStyle name="Normal 17 2" xfId="20"/>
    <cellStyle name="Normal 18" xfId="21"/>
    <cellStyle name="Normal 18 2" xfId="22"/>
    <cellStyle name="Normal 19" xfId="23"/>
    <cellStyle name="Normal 19 2" xfId="24"/>
    <cellStyle name="Normal 2" xfId="25"/>
    <cellStyle name="Normal 2 10" xfId="26"/>
    <cellStyle name="Normal 2 11" xfId="27"/>
    <cellStyle name="Normal 2 12" xfId="28"/>
    <cellStyle name="Normal 2 13" xfId="29"/>
    <cellStyle name="Normal 2 14" xfId="30"/>
    <cellStyle name="Normal 2 15" xfId="31"/>
    <cellStyle name="Normal 2 16" xfId="32"/>
    <cellStyle name="Normal 2 17" xfId="33"/>
    <cellStyle name="Normal 2 18" xfId="34"/>
    <cellStyle name="Normal 2 18 10" xfId="35"/>
    <cellStyle name="Normal 2 18 11" xfId="36"/>
    <cellStyle name="Normal 2 18 2" xfId="37"/>
    <cellStyle name="Normal 2 18 3" xfId="38"/>
    <cellStyle name="Normal 2 18 4" xfId="39"/>
    <cellStyle name="Normal 2 18 5" xfId="40"/>
    <cellStyle name="Normal 2 18 6" xfId="41"/>
    <cellStyle name="Normal 2 18 7" xfId="42"/>
    <cellStyle name="Normal 2 18 8" xfId="43"/>
    <cellStyle name="Normal 2 18 9" xfId="44"/>
    <cellStyle name="Normal 2 19" xfId="45"/>
    <cellStyle name="Normal 2 19 10" xfId="46"/>
    <cellStyle name="Normal 2 19 2" xfId="47"/>
    <cellStyle name="Normal 2 19 3" xfId="48"/>
    <cellStyle name="Normal 2 19 4" xfId="49"/>
    <cellStyle name="Normal 2 19 5" xfId="50"/>
    <cellStyle name="Normal 2 19 6" xfId="51"/>
    <cellStyle name="Normal 2 19 7" xfId="52"/>
    <cellStyle name="Normal 2 19 8" xfId="53"/>
    <cellStyle name="Normal 2 19 9" xfId="54"/>
    <cellStyle name="Normal 2 2" xfId="55"/>
    <cellStyle name="Normal 2 2 10" xfId="56"/>
    <cellStyle name="Normal 2 2 11" xfId="57"/>
    <cellStyle name="Normal 2 2 11 2" xfId="58"/>
    <cellStyle name="Normal 2 2 12" xfId="59"/>
    <cellStyle name="Normal 2 2 12 2" xfId="60"/>
    <cellStyle name="Normal 2 2 13" xfId="61"/>
    <cellStyle name="Normal 2 2 13 2" xfId="62"/>
    <cellStyle name="Normal 2 2 14" xfId="63"/>
    <cellStyle name="Normal 2 2 14 2" xfId="64"/>
    <cellStyle name="Normal 2 2 15" xfId="65"/>
    <cellStyle name="Normal 2 2 15 2" xfId="66"/>
    <cellStyle name="Normal 2 2 16" xfId="67"/>
    <cellStyle name="Normal 2 2 16 2" xfId="68"/>
    <cellStyle name="Normal 2 2 17" xfId="69"/>
    <cellStyle name="Normal 2 2 17 2" xfId="70"/>
    <cellStyle name="Normal 2 2 18" xfId="71"/>
    <cellStyle name="Normal 2 2 18 2" xfId="72"/>
    <cellStyle name="Normal 2 2 19" xfId="73"/>
    <cellStyle name="Normal 2 2 19 2" xfId="74"/>
    <cellStyle name="Normal 2 2 2" xfId="75"/>
    <cellStyle name="Normal 2 2 2 10" xfId="76"/>
    <cellStyle name="Normal 2 2 2 11" xfId="77"/>
    <cellStyle name="Normal 2 2 2 12" xfId="78"/>
    <cellStyle name="Normal 2 2 2 13" xfId="79"/>
    <cellStyle name="Normal 2 2 2 14" xfId="80"/>
    <cellStyle name="Normal 2 2 2 15" xfId="81"/>
    <cellStyle name="Normal 2 2 2 15 2" xfId="82"/>
    <cellStyle name="Normal 2 2 2 16" xfId="83"/>
    <cellStyle name="Normal 2 2 2 16 2" xfId="84"/>
    <cellStyle name="Normal 2 2 2 17" xfId="85"/>
    <cellStyle name="Normal 2 2 2 17 2" xfId="86"/>
    <cellStyle name="Normal 2 2 2 18" xfId="87"/>
    <cellStyle name="Normal 2 2 2 18 2" xfId="88"/>
    <cellStyle name="Normal 2 2 2 2" xfId="89"/>
    <cellStyle name="Normal 2 2 2 2 10" xfId="90"/>
    <cellStyle name="Normal 2 2 2 2 10 2" xfId="91"/>
    <cellStyle name="Normal 2 2 2 2 11" xfId="92"/>
    <cellStyle name="Normal 2 2 2 2 11 2" xfId="93"/>
    <cellStyle name="Normal 2 2 2 2 12" xfId="94"/>
    <cellStyle name="Normal 2 2 2 2 12 2" xfId="95"/>
    <cellStyle name="Normal 2 2 2 2 13" xfId="96"/>
    <cellStyle name="Normal 2 2 2 2 13 2" xfId="97"/>
    <cellStyle name="Normal 2 2 2 2 14" xfId="98"/>
    <cellStyle name="Normal 2 2 2 2 14 2" xfId="99"/>
    <cellStyle name="Normal 2 2 2 2 15" xfId="100"/>
    <cellStyle name="Normal 2 2 2 2 16" xfId="101"/>
    <cellStyle name="Normal 2 2 2 2 17" xfId="102"/>
    <cellStyle name="Normal 2 2 2 2 18" xfId="103"/>
    <cellStyle name="Normal 2 2 2 2 19" xfId="104"/>
    <cellStyle name="Normal 2 2 2 2 2" xfId="105"/>
    <cellStyle name="Normal 2 2 2 2 2 10" xfId="106"/>
    <cellStyle name="Normal 2 2 2 2 2 11" xfId="107"/>
    <cellStyle name="Normal 2 2 2 2 2 12" xfId="108"/>
    <cellStyle name="Normal 2 2 2 2 2 13" xfId="109"/>
    <cellStyle name="Normal 2 2 2 2 2 13 2" xfId="110"/>
    <cellStyle name="Normal 2 2 2 2 2 14" xfId="111"/>
    <cellStyle name="Normal 2 2 2 2 2 14 2" xfId="112"/>
    <cellStyle name="Normal 2 2 2 2 2 15" xfId="113"/>
    <cellStyle name="Normal 2 2 2 2 2 15 2" xfId="114"/>
    <cellStyle name="Normal 2 2 2 2 2 16" xfId="115"/>
    <cellStyle name="Normal 2 2 2 2 2 16 2" xfId="116"/>
    <cellStyle name="Normal 2 2 2 2 2 2" xfId="117"/>
    <cellStyle name="Normal 2 2 2 2 2 2 2" xfId="118"/>
    <cellStyle name="Normal 2 2 2 2 2 2 3" xfId="119"/>
    <cellStyle name="Normal 2 2 2 2 2 2 4" xfId="120"/>
    <cellStyle name="Normal 2 2 2 2 2 2 5" xfId="121"/>
    <cellStyle name="Normal 2 2 2 2 2 2 6" xfId="122"/>
    <cellStyle name="Normal 2 2 2 2 2 2 7" xfId="123"/>
    <cellStyle name="Normal 2 2 2 2 2 3" xfId="124"/>
    <cellStyle name="Normal 2 2 2 2 2 4" xfId="125"/>
    <cellStyle name="Normal 2 2 2 2 2 5" xfId="126"/>
    <cellStyle name="Normal 2 2 2 2 2 6" xfId="127"/>
    <cellStyle name="Normal 2 2 2 2 2 7" xfId="128"/>
    <cellStyle name="Normal 2 2 2 2 2 8" xfId="129"/>
    <cellStyle name="Normal 2 2 2 2 2 9" xfId="130"/>
    <cellStyle name="Normal 2 2 2 2 3" xfId="131"/>
    <cellStyle name="Normal 2 2 2 2 4" xfId="132"/>
    <cellStyle name="Normal 2 2 2 2 5" xfId="133"/>
    <cellStyle name="Normal 2 2 2 2 5 2" xfId="134"/>
    <cellStyle name="Normal 2 2 2 2 6" xfId="135"/>
    <cellStyle name="Normal 2 2 2 2 6 2" xfId="136"/>
    <cellStyle name="Normal 2 2 2 2 7" xfId="137"/>
    <cellStyle name="Normal 2 2 2 2 7 2" xfId="138"/>
    <cellStyle name="Normal 2 2 2 2 8" xfId="139"/>
    <cellStyle name="Normal 2 2 2 2 8 2" xfId="140"/>
    <cellStyle name="Normal 2 2 2 2 9" xfId="141"/>
    <cellStyle name="Normal 2 2 2 2 9 2" xfId="142"/>
    <cellStyle name="Normal 2 2 2 3" xfId="143"/>
    <cellStyle name="Normal 2 2 2 3 2" xfId="144"/>
    <cellStyle name="Normal 2 2 2 4" xfId="145"/>
    <cellStyle name="Normal 2 2 2 4 2" xfId="146"/>
    <cellStyle name="Normal 2 2 2 5" xfId="147"/>
    <cellStyle name="Normal 2 2 2 6" xfId="148"/>
    <cellStyle name="Normal 2 2 2 7" xfId="149"/>
    <cellStyle name="Normal 2 2 2 8" xfId="150"/>
    <cellStyle name="Normal 2 2 2 9" xfId="151"/>
    <cellStyle name="Normal 2 2 20" xfId="152"/>
    <cellStyle name="Normal 2 2 20 2" xfId="153"/>
    <cellStyle name="Normal 2 2 21" xfId="154"/>
    <cellStyle name="Normal 2 2 22" xfId="155"/>
    <cellStyle name="Normal 2 2 23" xfId="156"/>
    <cellStyle name="Normal 2 2 24" xfId="157"/>
    <cellStyle name="Normal 2 2 25" xfId="158"/>
    <cellStyle name="Normal 2 2 26" xfId="159"/>
    <cellStyle name="Normal 2 2 3" xfId="160"/>
    <cellStyle name="Normal 2 2 4" xfId="161"/>
    <cellStyle name="Normal 2 2 5" xfId="162"/>
    <cellStyle name="Normal 2 2 6" xfId="163"/>
    <cellStyle name="Normal 2 2 7" xfId="164"/>
    <cellStyle name="Normal 2 2 8" xfId="165"/>
    <cellStyle name="Normal 2 2 9" xfId="166"/>
    <cellStyle name="Normal 2 20" xfId="167"/>
    <cellStyle name="Normal 2 20 2" xfId="168"/>
    <cellStyle name="Normal 2 20 3" xfId="169"/>
    <cellStyle name="Normal 2 20 4" xfId="170"/>
    <cellStyle name="Normal 2 20 5" xfId="171"/>
    <cellStyle name="Normal 2 20 6" xfId="172"/>
    <cellStyle name="Normal 2 20 7" xfId="173"/>
    <cellStyle name="Normal 2 20 8" xfId="174"/>
    <cellStyle name="Normal 2 20 9" xfId="175"/>
    <cellStyle name="Normal 2 21" xfId="176"/>
    <cellStyle name="Normal 2 21 2" xfId="177"/>
    <cellStyle name="Normal 2 21 3" xfId="178"/>
    <cellStyle name="Normal 2 21 4" xfId="179"/>
    <cellStyle name="Normal 2 21 5" xfId="180"/>
    <cellStyle name="Normal 2 21 6" xfId="181"/>
    <cellStyle name="Normal 2 21 7" xfId="182"/>
    <cellStyle name="Normal 2 21 8" xfId="183"/>
    <cellStyle name="Normal 2 22" xfId="184"/>
    <cellStyle name="Normal 2 22 2" xfId="185"/>
    <cellStyle name="Normal 2 22 3" xfId="186"/>
    <cellStyle name="Normal 2 22 4" xfId="187"/>
    <cellStyle name="Normal 2 22 5" xfId="188"/>
    <cellStyle name="Normal 2 22 6" xfId="189"/>
    <cellStyle name="Normal 2 22 7" xfId="190"/>
    <cellStyle name="Normal 2 23" xfId="191"/>
    <cellStyle name="Normal 2 23 2" xfId="192"/>
    <cellStyle name="Normal 2 24" xfId="193"/>
    <cellStyle name="Normal 2 24 2" xfId="194"/>
    <cellStyle name="Normal 2 25" xfId="195"/>
    <cellStyle name="Normal 2 26" xfId="196"/>
    <cellStyle name="Normal 2 27" xfId="197"/>
    <cellStyle name="Normal 2 28" xfId="198"/>
    <cellStyle name="Normal 2 29" xfId="199"/>
    <cellStyle name="Normal 2 3" xfId="200"/>
    <cellStyle name="Normal 2 3 10" xfId="201"/>
    <cellStyle name="Normal 2 3 10 2" xfId="202"/>
    <cellStyle name="Normal 2 3 11" xfId="203"/>
    <cellStyle name="Normal 2 3 11 2" xfId="204"/>
    <cellStyle name="Normal 2 3 12" xfId="205"/>
    <cellStyle name="Normal 2 3 12 2" xfId="206"/>
    <cellStyle name="Normal 2 3 13" xfId="207"/>
    <cellStyle name="Normal 2 3 13 2" xfId="208"/>
    <cellStyle name="Normal 2 3 14" xfId="209"/>
    <cellStyle name="Normal 2 3 14 2" xfId="210"/>
    <cellStyle name="Normal 2 3 15" xfId="211"/>
    <cellStyle name="Normal 2 3 2" xfId="212"/>
    <cellStyle name="Normal 2 3 2 10" xfId="213"/>
    <cellStyle name="Normal 2 3 2 10 2" xfId="214"/>
    <cellStyle name="Normal 2 3 2 11" xfId="215"/>
    <cellStyle name="Normal 2 3 2 11 2" xfId="216"/>
    <cellStyle name="Normal 2 3 2 12" xfId="217"/>
    <cellStyle name="Normal 2 3 2 12 2" xfId="218"/>
    <cellStyle name="Normal 2 3 2 13" xfId="219"/>
    <cellStyle name="Normal 2 3 2 13 2" xfId="220"/>
    <cellStyle name="Normal 2 3 2 14" xfId="221"/>
    <cellStyle name="Normal 2 3 2 14 2" xfId="222"/>
    <cellStyle name="Normal 2 3 2 15" xfId="223"/>
    <cellStyle name="Normal 2 3 2 2" xfId="224"/>
    <cellStyle name="Normal 2 3 2 2 10" xfId="225"/>
    <cellStyle name="Normal 2 3 2 2 10 2" xfId="226"/>
    <cellStyle name="Normal 2 3 2 2 11" xfId="227"/>
    <cellStyle name="Normal 2 3 2 2 11 2" xfId="228"/>
    <cellStyle name="Normal 2 3 2 2 12" xfId="229"/>
    <cellStyle name="Normal 2 3 2 2 12 2" xfId="230"/>
    <cellStyle name="Normal 2 3 2 2 13" xfId="231"/>
    <cellStyle name="Normal 2 3 2 2 2" xfId="232"/>
    <cellStyle name="Normal 2 3 2 2 2 2" xfId="233"/>
    <cellStyle name="Normal 2 3 2 2 3" xfId="234"/>
    <cellStyle name="Normal 2 3 2 2 3 2" xfId="235"/>
    <cellStyle name="Normal 2 3 2 2 4" xfId="236"/>
    <cellStyle name="Normal 2 3 2 2 4 2" xfId="237"/>
    <cellStyle name="Normal 2 3 2 2 5" xfId="238"/>
    <cellStyle name="Normal 2 3 2 2 5 2" xfId="239"/>
    <cellStyle name="Normal 2 3 2 2 6" xfId="240"/>
    <cellStyle name="Normal 2 3 2 2 6 2" xfId="241"/>
    <cellStyle name="Normal 2 3 2 2 7" xfId="242"/>
    <cellStyle name="Normal 2 3 2 2 7 2" xfId="243"/>
    <cellStyle name="Normal 2 3 2 2 8" xfId="244"/>
    <cellStyle name="Normal 2 3 2 2 8 2" xfId="245"/>
    <cellStyle name="Normal 2 3 2 2 9" xfId="246"/>
    <cellStyle name="Normal 2 3 2 2 9 2" xfId="247"/>
    <cellStyle name="Normal 2 3 2 3" xfId="248"/>
    <cellStyle name="Normal 2 3 2 3 2" xfId="249"/>
    <cellStyle name="Normal 2 3 2 4" xfId="250"/>
    <cellStyle name="Normal 2 3 2 4 2" xfId="251"/>
    <cellStyle name="Normal 2 3 2 5" xfId="252"/>
    <cellStyle name="Normal 2 3 2 5 2" xfId="253"/>
    <cellStyle name="Normal 2 3 2 6" xfId="254"/>
    <cellStyle name="Normal 2 3 2 6 2" xfId="255"/>
    <cellStyle name="Normal 2 3 2 7" xfId="256"/>
    <cellStyle name="Normal 2 3 2 7 2" xfId="257"/>
    <cellStyle name="Normal 2 3 2 8" xfId="258"/>
    <cellStyle name="Normal 2 3 2 8 2" xfId="259"/>
    <cellStyle name="Normal 2 3 2 9" xfId="260"/>
    <cellStyle name="Normal 2 3 2 9 2" xfId="261"/>
    <cellStyle name="Normal 2 3 3" xfId="262"/>
    <cellStyle name="Normal 2 3 3 2" xfId="263"/>
    <cellStyle name="Normal 2 3 4" xfId="264"/>
    <cellStyle name="Normal 2 3 4 2" xfId="265"/>
    <cellStyle name="Normal 2 3 5" xfId="266"/>
    <cellStyle name="Normal 2 3 5 2" xfId="267"/>
    <cellStyle name="Normal 2 3 6" xfId="268"/>
    <cellStyle name="Normal 2 3 6 2" xfId="269"/>
    <cellStyle name="Normal 2 3 7" xfId="270"/>
    <cellStyle name="Normal 2 3 7 2" xfId="271"/>
    <cellStyle name="Normal 2 3 8" xfId="272"/>
    <cellStyle name="Normal 2 3 8 2" xfId="273"/>
    <cellStyle name="Normal 2 3 9" xfId="274"/>
    <cellStyle name="Normal 2 3 9 2" xfId="275"/>
    <cellStyle name="Normal 2 30" xfId="276"/>
    <cellStyle name="Normal 2 31" xfId="277"/>
    <cellStyle name="Normal 2 32" xfId="278"/>
    <cellStyle name="Normal 2 33" xfId="279"/>
    <cellStyle name="Normal 2 34" xfId="280"/>
    <cellStyle name="Normal 2 35" xfId="281"/>
    <cellStyle name="Normal 2 36" xfId="282"/>
    <cellStyle name="Normal 2 37" xfId="283"/>
    <cellStyle name="Normal 2 38" xfId="284"/>
    <cellStyle name="Normal 2 39" xfId="285"/>
    <cellStyle name="Normal 2 4" xfId="286"/>
    <cellStyle name="Normal 2 4 2" xfId="287"/>
    <cellStyle name="Normal 2 4 2 2" xfId="288"/>
    <cellStyle name="Normal 2 40" xfId="289"/>
    <cellStyle name="Normal 2 41" xfId="290"/>
    <cellStyle name="Normal 2 42" xfId="291"/>
    <cellStyle name="Normal 2 43" xfId="292"/>
    <cellStyle name="Normal 2 44" xfId="293"/>
    <cellStyle name="Normal 2 44 2" xfId="294"/>
    <cellStyle name="Normal 2 45" xfId="295"/>
    <cellStyle name="Normal 2 45 2" xfId="296"/>
    <cellStyle name="Normal 2 46" xfId="297"/>
    <cellStyle name="Normal 2 46 2" xfId="298"/>
    <cellStyle name="Normal 2 47" xfId="299"/>
    <cellStyle name="Normal 2 48" xfId="300"/>
    <cellStyle name="Normal 2 49" xfId="301"/>
    <cellStyle name="Normal 2 5" xfId="302"/>
    <cellStyle name="Normal 2 5 2" xfId="303"/>
    <cellStyle name="Normal 2 5 2 2" xfId="304"/>
    <cellStyle name="Normal 2 6" xfId="305"/>
    <cellStyle name="Normal 2 6 2" xfId="306"/>
    <cellStyle name="Normal 2 6 2 2" xfId="307"/>
    <cellStyle name="Normal 2 7" xfId="308"/>
    <cellStyle name="Normal 2 7 2" xfId="309"/>
    <cellStyle name="Normal 2 7 2 2" xfId="310"/>
    <cellStyle name="Normal 2 8" xfId="311"/>
    <cellStyle name="Normal 2 8 2" xfId="312"/>
    <cellStyle name="Normal 2 8 2 2" xfId="313"/>
    <cellStyle name="Normal 2 9" xfId="314"/>
    <cellStyle name="Normal 2 9 2" xfId="315"/>
    <cellStyle name="Normal 2 9 2 2" xfId="316"/>
    <cellStyle name="Normal 20" xfId="317"/>
    <cellStyle name="Normal 21" xfId="318"/>
    <cellStyle name="Normal 22" xfId="319"/>
    <cellStyle name="Normal 23" xfId="320"/>
    <cellStyle name="Normal 24" xfId="321"/>
    <cellStyle name="Normal 25" xfId="322"/>
    <cellStyle name="Normal 25 2" xfId="323"/>
    <cellStyle name="Normal 25 2 2" xfId="324"/>
    <cellStyle name="Normal 25 3" xfId="325"/>
    <cellStyle name="Normal 25 3 2" xfId="326"/>
    <cellStyle name="Normal 25 4" xfId="327"/>
    <cellStyle name="Normal 25 4 2" xfId="328"/>
    <cellStyle name="Normal 25 5" xfId="329"/>
    <cellStyle name="Normal 26" xfId="330"/>
    <cellStyle name="Normal 26 2" xfId="331"/>
    <cellStyle name="Normal 26 2 2" xfId="332"/>
    <cellStyle name="Normal 26 3" xfId="333"/>
    <cellStyle name="Normal 26 3 2" xfId="334"/>
    <cellStyle name="Normal 26 4" xfId="335"/>
    <cellStyle name="Normal 26 4 2" xfId="336"/>
    <cellStyle name="Normal 26 5" xfId="337"/>
    <cellStyle name="Normal 27" xfId="338"/>
    <cellStyle name="Normal 27 2" xfId="339"/>
    <cellStyle name="Normal 27 2 2" xfId="340"/>
    <cellStyle name="Normal 27 3" xfId="341"/>
    <cellStyle name="Normal 27 3 2" xfId="342"/>
    <cellStyle name="Normal 27 4" xfId="343"/>
    <cellStyle name="Normal 27 4 2" xfId="344"/>
    <cellStyle name="Normal 27 5" xfId="345"/>
    <cellStyle name="Normal 28" xfId="346"/>
    <cellStyle name="Normal 28 2" xfId="347"/>
    <cellStyle name="Normal 29" xfId="348"/>
    <cellStyle name="Normal 29 2" xfId="349"/>
    <cellStyle name="Normal 3" xfId="350"/>
    <cellStyle name="Normal 3 10" xfId="351"/>
    <cellStyle name="Normal 3 11" xfId="352"/>
    <cellStyle name="Normal 3 12" xfId="353"/>
    <cellStyle name="Normal 3 13" xfId="354"/>
    <cellStyle name="Normal 3 2" xfId="355"/>
    <cellStyle name="Normal 3 2 2" xfId="356"/>
    <cellStyle name="Normal 3 2 2 2" xfId="357"/>
    <cellStyle name="Normal 3 2 2 3" xfId="358"/>
    <cellStyle name="Normal 3 2 2 4" xfId="359"/>
    <cellStyle name="Normal 3 2 3" xfId="360"/>
    <cellStyle name="Normal 3 2 3 2" xfId="361"/>
    <cellStyle name="Normal 3 2 4" xfId="362"/>
    <cellStyle name="Normal 3 2 4 2" xfId="363"/>
    <cellStyle name="Normal 3 3" xfId="364"/>
    <cellStyle name="Normal 3 4" xfId="365"/>
    <cellStyle name="Normal 3 5" xfId="366"/>
    <cellStyle name="Normal 3 6" xfId="367"/>
    <cellStyle name="Normal 3 7" xfId="368"/>
    <cellStyle name="Normal 3 8" xfId="369"/>
    <cellStyle name="Normal 3 9" xfId="370"/>
    <cellStyle name="Normal 30" xfId="371"/>
    <cellStyle name="Normal 30 2" xfId="372"/>
    <cellStyle name="Normal 31" xfId="373"/>
    <cellStyle name="Normal 31 2" xfId="374"/>
    <cellStyle name="Normal 32" xfId="375"/>
    <cellStyle name="Normal 32 2" xfId="376"/>
    <cellStyle name="Normal 33" xfId="377"/>
    <cellStyle name="Normal 33 2" xfId="378"/>
    <cellStyle name="Normal 34" xfId="379"/>
    <cellStyle name="Normal 34 2" xfId="380"/>
    <cellStyle name="Normal 35" xfId="381"/>
    <cellStyle name="Normal 35 2" xfId="382"/>
    <cellStyle name="Normal 36" xfId="383"/>
    <cellStyle name="Normal 36 2" xfId="384"/>
    <cellStyle name="Normal 37" xfId="385"/>
    <cellStyle name="Normal 37 2" xfId="386"/>
    <cellStyle name="Normal 38" xfId="387"/>
    <cellStyle name="Normal 38 2" xfId="388"/>
    <cellStyle name="Normal 39" xfId="389"/>
    <cellStyle name="Normal 39 2" xfId="390"/>
    <cellStyle name="Normal 4" xfId="391"/>
    <cellStyle name="Normal 40" xfId="392"/>
    <cellStyle name="Normal 40 2" xfId="393"/>
    <cellStyle name="Normal 41" xfId="394"/>
    <cellStyle name="Normal 41 2" xfId="395"/>
    <cellStyle name="Normal 42" xfId="396"/>
    <cellStyle name="Normal 42 2" xfId="397"/>
    <cellStyle name="Normal 43" xfId="398"/>
    <cellStyle name="Normal 43 2" xfId="399"/>
    <cellStyle name="Normal 44" xfId="400"/>
    <cellStyle name="Normal 44 2" xfId="401"/>
    <cellStyle name="Normal 45" xfId="402"/>
    <cellStyle name="Normal 46" xfId="403"/>
    <cellStyle name="Normal 46 2" xfId="404"/>
    <cellStyle name="Normal 47" xfId="405"/>
    <cellStyle name="Normal 47 2" xfId="406"/>
    <cellStyle name="Normal 48" xfId="407"/>
    <cellStyle name="Normal 48 2" xfId="408"/>
    <cellStyle name="Normal 49" xfId="409"/>
    <cellStyle name="Normal 49 2" xfId="410"/>
    <cellStyle name="Normal 49 2 2" xfId="411"/>
    <cellStyle name="Normal 49 3" xfId="412"/>
    <cellStyle name="Normal 49 3 2" xfId="413"/>
    <cellStyle name="Normal 49 4" xfId="414"/>
    <cellStyle name="Normal 49 4 2" xfId="415"/>
    <cellStyle name="Normal 49 5" xfId="416"/>
    <cellStyle name="Normal 5" xfId="417"/>
    <cellStyle name="Normal 5 2" xfId="418"/>
    <cellStyle name="Normal 5 2 2" xfId="419"/>
    <cellStyle name="Normal 5 2 2 2" xfId="420"/>
    <cellStyle name="Normal 5 2 2 3" xfId="421"/>
    <cellStyle name="Normal 5 2 2 4" xfId="422"/>
    <cellStyle name="Normal 5 2 3" xfId="423"/>
    <cellStyle name="Normal 5 2 3 2" xfId="424"/>
    <cellStyle name="Normal 5 2 4" xfId="425"/>
    <cellStyle name="Normal 5 2 4 2" xfId="426"/>
    <cellStyle name="Normal 50" xfId="427"/>
    <cellStyle name="Normal 50 2" xfId="428"/>
    <cellStyle name="Normal 50 2 2" xfId="429"/>
    <cellStyle name="Normal 50 3" xfId="430"/>
    <cellStyle name="Normal 50 3 2" xfId="431"/>
    <cellStyle name="Normal 51" xfId="432"/>
    <cellStyle name="Normal 51 2" xfId="433"/>
    <cellStyle name="Normal 51 2 2" xfId="434"/>
    <cellStyle name="Normal 52" xfId="435"/>
    <cellStyle name="Normal 53" xfId="1"/>
    <cellStyle name="Normal 58" xfId="436"/>
    <cellStyle name="Normal 6" xfId="437"/>
    <cellStyle name="Normal 6 2" xfId="438"/>
    <cellStyle name="Normal 7" xfId="439"/>
    <cellStyle name="Normal 7 2" xfId="440"/>
    <cellStyle name="Normal 70" xfId="441"/>
    <cellStyle name="Normal 70 2" xfId="442"/>
    <cellStyle name="Normal 71" xfId="443"/>
    <cellStyle name="Normal 71 2" xfId="444"/>
    <cellStyle name="Normal 72" xfId="445"/>
    <cellStyle name="Normal 72 2" xfId="446"/>
    <cellStyle name="Normal 73" xfId="447"/>
    <cellStyle name="Normal 73 2" xfId="448"/>
    <cellStyle name="Normal 74" xfId="449"/>
    <cellStyle name="Normal 74 2" xfId="450"/>
    <cellStyle name="Normal 75" xfId="451"/>
    <cellStyle name="Normal 75 2" xfId="452"/>
    <cellStyle name="Normal 76" xfId="453"/>
    <cellStyle name="Normal 76 2" xfId="454"/>
    <cellStyle name="Normal 77" xfId="455"/>
    <cellStyle name="Normal 77 2" xfId="456"/>
    <cellStyle name="Normal 78" xfId="457"/>
    <cellStyle name="Normal 78 2" xfId="458"/>
    <cellStyle name="Normal 79" xfId="459"/>
    <cellStyle name="Normal 79 2" xfId="460"/>
    <cellStyle name="Normal 8" xfId="461"/>
    <cellStyle name="Normal 8 2" xfId="462"/>
    <cellStyle name="Normal 83" xfId="463"/>
    <cellStyle name="Normal 83 2" xfId="464"/>
    <cellStyle name="Normal 85" xfId="465"/>
    <cellStyle name="Normal 85 2" xfId="466"/>
    <cellStyle name="Normal 9" xfId="467"/>
    <cellStyle name="Note 2" xfId="468"/>
    <cellStyle name="Percent 2" xfId="469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shome.cuit.columbia.edu/Users/bm2115/AppData/Local/Microsoft/Windows/Temporary%20Internet%20Files/Content.Outlook/3ANJQ112/ENGINEERING%20%20Tree%20%2010_4_11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COA"/>
      <sheetName val="2. DEPARTMENT "/>
      <sheetName val="3. PROJECT"/>
      <sheetName val="4. INITIATIVE"/>
      <sheetName val="5. SEGMENT"/>
      <sheetName val="6. SITE "/>
    </sheetNames>
    <sheetDataSet>
      <sheetData sheetId="0" refreshError="1"/>
      <sheetData sheetId="1"/>
      <sheetData sheetId="2"/>
      <sheetData sheetId="3">
        <row r="349">
          <cell r="A349" t="str">
            <v>a</v>
          </cell>
        </row>
      </sheetData>
      <sheetData sheetId="4">
        <row r="349">
          <cell r="A349" t="str">
            <v>a</v>
          </cell>
        </row>
      </sheetData>
      <sheetData sheetId="5">
        <row r="5">
          <cell r="A5" t="str">
            <v xml:space="preserve">Armstrong </v>
          </cell>
        </row>
        <row r="6">
          <cell r="A6" t="str">
            <v>Avery</v>
          </cell>
        </row>
        <row r="7">
          <cell r="A7" t="str">
            <v>Computer Science</v>
          </cell>
        </row>
        <row r="8">
          <cell r="A8" t="str">
            <v>Broadway Residence Hall</v>
          </cell>
        </row>
        <row r="9">
          <cell r="A9" t="str">
            <v>CEPSR</v>
          </cell>
        </row>
        <row r="10">
          <cell r="A10" t="str">
            <v>Lerner Hall</v>
          </cell>
        </row>
        <row r="11">
          <cell r="A11" t="str">
            <v>University Hall Powerplant</v>
          </cell>
        </row>
        <row r="12">
          <cell r="A12" t="str">
            <v>1700 Broadway</v>
          </cell>
        </row>
        <row r="13">
          <cell r="A13" t="str">
            <v>Library Off Site</v>
          </cell>
        </row>
        <row r="14">
          <cell r="A14" t="str">
            <v>Butler Library</v>
          </cell>
        </row>
        <row r="15">
          <cell r="A15" t="str">
            <v>Carman Non-ICR</v>
          </cell>
        </row>
        <row r="16">
          <cell r="A16" t="str">
            <v>Casa Hispanica</v>
          </cell>
        </row>
        <row r="17">
          <cell r="A17" t="str">
            <v>Casa Italiana</v>
          </cell>
        </row>
        <row r="18">
          <cell r="A18" t="str">
            <v>Chandler</v>
          </cell>
        </row>
        <row r="19">
          <cell r="A19" t="str">
            <v>Computer Center</v>
          </cell>
        </row>
        <row r="20">
          <cell r="A20" t="str">
            <v>Deutsches Haus</v>
          </cell>
        </row>
        <row r="21">
          <cell r="A21" t="str">
            <v>Dodge Hall</v>
          </cell>
        </row>
        <row r="22">
          <cell r="A22" t="str">
            <v>Dodge Physical Fitness</v>
          </cell>
        </row>
        <row r="23">
          <cell r="A23" t="str">
            <v>Earl Hall</v>
          </cell>
        </row>
        <row r="24">
          <cell r="A24" t="str">
            <v>Buell Hall</v>
          </cell>
        </row>
        <row r="25">
          <cell r="A25" t="str">
            <v>Engineering Terrace</v>
          </cell>
        </row>
        <row r="26">
          <cell r="A26" t="str">
            <v>Faculty House</v>
          </cell>
        </row>
        <row r="27">
          <cell r="A27" t="str">
            <v>Fairchild</v>
          </cell>
        </row>
        <row r="28">
          <cell r="A28" t="str">
            <v>Fayerweather</v>
          </cell>
        </row>
        <row r="29">
          <cell r="A29" t="str">
            <v>80 Claremont Avenue</v>
          </cell>
        </row>
        <row r="30">
          <cell r="A30" t="str">
            <v>Furnald</v>
          </cell>
        </row>
        <row r="31">
          <cell r="A31" t="str">
            <v>Hamilton</v>
          </cell>
        </row>
        <row r="32">
          <cell r="A32" t="str">
            <v>Harmony</v>
          </cell>
        </row>
        <row r="33">
          <cell r="A33" t="str">
            <v>Hartley</v>
          </cell>
        </row>
        <row r="34">
          <cell r="A34" t="str">
            <v>Havemeyer</v>
          </cell>
        </row>
        <row r="35">
          <cell r="A35" t="str">
            <v>Hogan</v>
          </cell>
        </row>
        <row r="36">
          <cell r="A36" t="str">
            <v>International Affairs</v>
          </cell>
        </row>
        <row r="37">
          <cell r="A37" t="str">
            <v>Johnson-Greene</v>
          </cell>
        </row>
        <row r="38">
          <cell r="A38" t="str">
            <v>John Jay Non-ICR</v>
          </cell>
        </row>
        <row r="39">
          <cell r="A39" t="str">
            <v>Wien (formerly Johnson) Non-ICR</v>
          </cell>
        </row>
        <row r="40">
          <cell r="A40" t="str">
            <v>Journalism</v>
          </cell>
        </row>
        <row r="41">
          <cell r="A41" t="str">
            <v>Kent</v>
          </cell>
        </row>
        <row r="42">
          <cell r="A42" t="str">
            <v>Law (Greene)</v>
          </cell>
        </row>
        <row r="43">
          <cell r="A43" t="str">
            <v>Lewisohn</v>
          </cell>
        </row>
        <row r="44">
          <cell r="A44" t="str">
            <v>Wallach</v>
          </cell>
        </row>
        <row r="45">
          <cell r="A45" t="str">
            <v>Low</v>
          </cell>
        </row>
        <row r="46">
          <cell r="A46" t="str">
            <v>Mathematics</v>
          </cell>
        </row>
        <row r="47">
          <cell r="A47" t="str">
            <v xml:space="preserve">McBain </v>
          </cell>
        </row>
        <row r="48">
          <cell r="A48" t="str">
            <v>McVickar</v>
          </cell>
        </row>
        <row r="49">
          <cell r="A49" t="str">
            <v>Mudd</v>
          </cell>
        </row>
        <row r="50">
          <cell r="A50" t="str">
            <v>Kraft Ctr. for Jewish Student Life</v>
          </cell>
        </row>
        <row r="51">
          <cell r="A51" t="str">
            <v>Philosophy</v>
          </cell>
        </row>
        <row r="52">
          <cell r="A52" t="str">
            <v>Prentis</v>
          </cell>
        </row>
        <row r="53">
          <cell r="A53" t="str">
            <v>President's House</v>
          </cell>
        </row>
        <row r="54">
          <cell r="A54" t="str">
            <v>Pupin</v>
          </cell>
        </row>
        <row r="55">
          <cell r="A55" t="str">
            <v>Ruggles</v>
          </cell>
        </row>
        <row r="56">
          <cell r="A56" t="str">
            <v>St. Paul's Chapel</v>
          </cell>
        </row>
        <row r="57">
          <cell r="A57" t="str">
            <v>Schermerhorn</v>
          </cell>
        </row>
        <row r="58">
          <cell r="A58" t="str">
            <v>Schermerhorn Extension</v>
          </cell>
        </row>
        <row r="59">
          <cell r="A59" t="str">
            <v>Service Building</v>
          </cell>
        </row>
        <row r="60">
          <cell r="A60" t="str">
            <v>University Hall</v>
          </cell>
        </row>
        <row r="61">
          <cell r="A61" t="str">
            <v>Uris Hall</v>
          </cell>
        </row>
        <row r="62">
          <cell r="A62" t="str">
            <v>Watson</v>
          </cell>
        </row>
        <row r="63">
          <cell r="A63" t="str">
            <v>Woodbridge</v>
          </cell>
        </row>
        <row r="64">
          <cell r="A64" t="str">
            <v>Social Work Building</v>
          </cell>
        </row>
        <row r="65">
          <cell r="A65" t="str">
            <v>Science Building at 120th &amp; B'way</v>
          </cell>
        </row>
        <row r="66">
          <cell r="A66" t="str">
            <v>River</v>
          </cell>
        </row>
        <row r="67">
          <cell r="A67" t="str">
            <v>Warren Law Review</v>
          </cell>
        </row>
        <row r="68">
          <cell r="A68" t="str">
            <v>2929 Broadway</v>
          </cell>
        </row>
        <row r="69">
          <cell r="A69" t="str">
            <v>Uris Chilled Water Production</v>
          </cell>
        </row>
        <row r="70">
          <cell r="A70" t="str">
            <v>Knox Hall</v>
          </cell>
        </row>
        <row r="71">
          <cell r="A71" t="str">
            <v>John Jay-ICR</v>
          </cell>
        </row>
        <row r="72">
          <cell r="A72" t="str">
            <v>East Campus-ICR</v>
          </cell>
        </row>
        <row r="73">
          <cell r="A73" t="str">
            <v>East Campus Non-ICR</v>
          </cell>
        </row>
        <row r="74">
          <cell r="A74" t="str">
            <v>Wien (formerly Johnson)-ICR</v>
          </cell>
        </row>
        <row r="75">
          <cell r="A75" t="str">
            <v>Carman-ICR</v>
          </cell>
        </row>
        <row r="76">
          <cell r="A76" t="str">
            <v>Grace Dodge Hall (Teachers College)</v>
          </cell>
        </row>
        <row r="77">
          <cell r="A77" t="str">
            <v>Thorndike (Teachers College)</v>
          </cell>
        </row>
        <row r="78">
          <cell r="A78" t="str">
            <v>Horace Mann</v>
          </cell>
        </row>
        <row r="79">
          <cell r="A79" t="str">
            <v>Interchurch</v>
          </cell>
        </row>
        <row r="80">
          <cell r="A80" t="str">
            <v>Convent of the Holy Spirit</v>
          </cell>
        </row>
        <row r="81">
          <cell r="A81" t="str">
            <v>Riverside Church</v>
          </cell>
        </row>
        <row r="82">
          <cell r="A82" t="str">
            <v>82 Morningside Dr</v>
          </cell>
        </row>
        <row r="83">
          <cell r="A83" t="str">
            <v>CEPSR Boiler Plant</v>
          </cell>
        </row>
        <row r="84">
          <cell r="A84" t="str">
            <v>St. Luke's</v>
          </cell>
        </row>
        <row r="85">
          <cell r="A85" t="str">
            <v>St. Luke's</v>
          </cell>
        </row>
        <row r="86">
          <cell r="A86" t="str">
            <v>St Luke's General</v>
          </cell>
        </row>
        <row r="87">
          <cell r="A87" t="str">
            <v>Morningside General</v>
          </cell>
        </row>
        <row r="88">
          <cell r="A88" t="str">
            <v>CU Press</v>
          </cell>
        </row>
        <row r="89">
          <cell r="A89" t="str">
            <v>MS Miscellaneous</v>
          </cell>
        </row>
        <row r="90">
          <cell r="A90" t="str">
            <v>Warren Business &amp; Law</v>
          </cell>
        </row>
        <row r="91">
          <cell r="A91" t="str">
            <v xml:space="preserve">330 5th Avenue </v>
          </cell>
        </row>
        <row r="92">
          <cell r="A92" t="str">
            <v>Lenfest Residence Hall</v>
          </cell>
        </row>
        <row r="93">
          <cell r="A93" t="str">
            <v xml:space="preserve"> Watt (Robert) Hall </v>
          </cell>
        </row>
        <row r="94">
          <cell r="A94" t="str">
            <v>Schapiro Hall-ICR</v>
          </cell>
        </row>
        <row r="95">
          <cell r="A95" t="str">
            <v>Chemistry (Chem. Rsch. Ctr.)</v>
          </cell>
        </row>
        <row r="96">
          <cell r="A96" t="str">
            <v>Schapiro Hall Non-ICR</v>
          </cell>
        </row>
        <row r="97">
          <cell r="A97" t="str">
            <v>Alumni Auditorium</v>
          </cell>
        </row>
        <row r="98">
          <cell r="A98" t="str">
            <v>2875 Broadway</v>
          </cell>
        </row>
        <row r="99">
          <cell r="A99" t="str">
            <v>100 Morningside</v>
          </cell>
        </row>
        <row r="100">
          <cell r="A100" t="str">
            <v>621-625 West 113 Street</v>
          </cell>
        </row>
        <row r="101">
          <cell r="A101" t="str">
            <v>Maison Francaise</v>
          </cell>
        </row>
        <row r="102">
          <cell r="A102" t="str">
            <v>Chase Bank</v>
          </cell>
        </row>
        <row r="103">
          <cell r="A103" t="str">
            <v>253 - 259 109th St Residence</v>
          </cell>
        </row>
        <row r="104">
          <cell r="A104" t="str">
            <v>614 - 616 W 114th St - GB Ford</v>
          </cell>
        </row>
        <row r="105">
          <cell r="A105" t="str">
            <v>2 St. Clair Place</v>
          </cell>
        </row>
        <row r="106">
          <cell r="A106" t="str">
            <v>614 - 644 W 125th St</v>
          </cell>
        </row>
        <row r="107">
          <cell r="A107" t="str">
            <v>503 W 121st St</v>
          </cell>
        </row>
        <row r="108">
          <cell r="A108" t="str">
            <v>500 W 122nd St</v>
          </cell>
        </row>
        <row r="109">
          <cell r="A109" t="str">
            <v>362 Riverside Carlton</v>
          </cell>
        </row>
        <row r="110">
          <cell r="A110" t="str">
            <v>534 - 538 W 112th St - Belvedere</v>
          </cell>
        </row>
        <row r="111">
          <cell r="A111" t="str">
            <v>450 Riverside</v>
          </cell>
        </row>
        <row r="112">
          <cell r="A112" t="str">
            <v>Baker Field</v>
          </cell>
        </row>
        <row r="113">
          <cell r="A113" t="str">
            <v>LDEO Child Care Facility</v>
          </cell>
        </row>
        <row r="114">
          <cell r="A114" t="str">
            <v>Harriman</v>
          </cell>
        </row>
        <row r="115">
          <cell r="A115" t="str">
            <v>Lamont Campus</v>
          </cell>
        </row>
        <row r="116">
          <cell r="A116" t="str">
            <v>Morris, CT</v>
          </cell>
        </row>
        <row r="117">
          <cell r="A117" t="str">
            <v>Nevis</v>
          </cell>
        </row>
        <row r="118">
          <cell r="A118" t="str">
            <v>Comer Geochemistry Building</v>
          </cell>
        </row>
        <row r="119">
          <cell r="A119" t="str">
            <v>The Ship (Marcus Langseth)</v>
          </cell>
        </row>
        <row r="120">
          <cell r="A120" t="str">
            <v>Baker Sports Center</v>
          </cell>
        </row>
        <row r="121">
          <cell r="A121" t="str">
            <v>Baker Boathouse</v>
          </cell>
        </row>
        <row r="122">
          <cell r="A122" t="str">
            <v>Baker Tennis Field</v>
          </cell>
        </row>
        <row r="123">
          <cell r="A123" t="str">
            <v>Baker Field-Chrystie Field House</v>
          </cell>
        </row>
        <row r="124">
          <cell r="A124" t="str">
            <v>Baker Field-Andy Coakley Baseball Modifications</v>
          </cell>
        </row>
        <row r="125">
          <cell r="A125" t="str">
            <v>524 Riverside Drive (ISSO)</v>
          </cell>
        </row>
        <row r="126">
          <cell r="A126" t="str">
            <v>Sigma Chi (fraternity)</v>
          </cell>
        </row>
        <row r="127">
          <cell r="A127" t="str">
            <v>Zeta Psi (fraternity)</v>
          </cell>
        </row>
        <row r="128">
          <cell r="A128" t="str">
            <v>Delta Phi (fraternity)</v>
          </cell>
        </row>
        <row r="129">
          <cell r="A129" t="str">
            <v>Delta Gamma (sorority)</v>
          </cell>
        </row>
        <row r="130">
          <cell r="A130" t="str">
            <v>Sigma Nu (fraternity)</v>
          </cell>
        </row>
        <row r="131">
          <cell r="A131" t="str">
            <v>Alpha Delta Phi (fraternity)</v>
          </cell>
        </row>
        <row r="132">
          <cell r="A132" t="str">
            <v>Kappa Alpha Theta (sorority)</v>
          </cell>
        </row>
        <row r="133">
          <cell r="A133" t="str">
            <v>Pi Kappa Alpha (fraternity)</v>
          </cell>
        </row>
        <row r="134">
          <cell r="A134" t="str">
            <v>Delta Tau (sorority)</v>
          </cell>
        </row>
        <row r="135">
          <cell r="A135" t="str">
            <v>Psi Upsilon (fraternity)</v>
          </cell>
        </row>
        <row r="136">
          <cell r="A136" t="str">
            <v>Alpha Epsilon Pi (fraternity)</v>
          </cell>
        </row>
        <row r="137">
          <cell r="A137" t="str">
            <v>Kappa Delta Rho (fraternity)</v>
          </cell>
        </row>
        <row r="138">
          <cell r="A138" t="str">
            <v>Intercultural Resource Center</v>
          </cell>
        </row>
        <row r="139">
          <cell r="A139" t="str">
            <v>Zeta Beta Tau (fraternity)</v>
          </cell>
        </row>
        <row r="140">
          <cell r="A140" t="str">
            <v>604 W. 114 St</v>
          </cell>
        </row>
        <row r="141">
          <cell r="A141" t="str">
            <v>606 W. 114 St</v>
          </cell>
        </row>
        <row r="142">
          <cell r="A142" t="str">
            <v>St. Luke's</v>
          </cell>
        </row>
        <row r="143">
          <cell r="A143" t="str">
            <v>St. Luke's</v>
          </cell>
        </row>
        <row r="144">
          <cell r="A144" t="str">
            <v>St. Luke's general</v>
          </cell>
        </row>
        <row r="145">
          <cell r="A145" t="str">
            <v>Black Power Generation</v>
          </cell>
        </row>
        <row r="146">
          <cell r="A146" t="str">
            <v>Black</v>
          </cell>
        </row>
        <row r="147">
          <cell r="A147" t="str">
            <v>Hammer</v>
          </cell>
        </row>
        <row r="148">
          <cell r="A148" t="str">
            <v>Bard Residence Hall</v>
          </cell>
        </row>
        <row r="149">
          <cell r="A149" t="str">
            <v>215 West. W. 125th Street</v>
          </cell>
        </row>
        <row r="150">
          <cell r="A150" t="str">
            <v>P&amp;S</v>
          </cell>
        </row>
        <row r="151">
          <cell r="A151" t="str">
            <v>Presbyterian Hospital</v>
          </cell>
        </row>
        <row r="152">
          <cell r="A152" t="str">
            <v>School of Public Health</v>
          </cell>
        </row>
        <row r="153">
          <cell r="A153" t="str">
            <v>Vanderbilt Clinic</v>
          </cell>
        </row>
        <row r="154">
          <cell r="A154" t="str">
            <v>Eye Institute Annex</v>
          </cell>
        </row>
        <row r="155">
          <cell r="A155" t="str">
            <v>Eye Institute</v>
          </cell>
        </row>
        <row r="156">
          <cell r="A156" t="str">
            <v>Neurological Institute</v>
          </cell>
        </row>
        <row r="157">
          <cell r="A157" t="str">
            <v>Babies Hospital</v>
          </cell>
        </row>
        <row r="158">
          <cell r="A158" t="str">
            <v>Parking Garage</v>
          </cell>
        </row>
        <row r="159">
          <cell r="A159" t="str">
            <v>NYS Psychiatric Institute - New</v>
          </cell>
        </row>
        <row r="160">
          <cell r="A160" t="str">
            <v>Bard Tower I</v>
          </cell>
        </row>
        <row r="161">
          <cell r="A161" t="str">
            <v>Bard Tower II</v>
          </cell>
        </row>
        <row r="162">
          <cell r="A162" t="str">
            <v>Bard Tower III</v>
          </cell>
        </row>
        <row r="163">
          <cell r="A163" t="str">
            <v>Harkness Pavillion</v>
          </cell>
        </row>
        <row r="164">
          <cell r="A164" t="str">
            <v>Georgian Apartments</v>
          </cell>
        </row>
        <row r="165">
          <cell r="A165" t="str">
            <v>601 W. 168th St</v>
          </cell>
        </row>
        <row r="166">
          <cell r="A166" t="str">
            <v>Milstein</v>
          </cell>
        </row>
        <row r="167">
          <cell r="A167" t="str">
            <v>Audubon I - ARB/Lasker</v>
          </cell>
        </row>
        <row r="168">
          <cell r="A168" t="str">
            <v>Audubon II - CDP/Berrie</v>
          </cell>
        </row>
        <row r="169">
          <cell r="A169" t="str">
            <v>E. 60th St. Practice</v>
          </cell>
        </row>
        <row r="170">
          <cell r="A170" t="str">
            <v>880 3rd Avenue- 2nd floor</v>
          </cell>
        </row>
        <row r="171">
          <cell r="A171" t="str">
            <v>47-51 Audubon Avenue</v>
          </cell>
        </row>
        <row r="172">
          <cell r="A172" t="str">
            <v>47-51 Audubon Avenue</v>
          </cell>
        </row>
        <row r="173">
          <cell r="A173" t="str">
            <v>154 Haven</v>
          </cell>
        </row>
        <row r="174">
          <cell r="A174" t="str">
            <v>Audubon Phase III</v>
          </cell>
        </row>
        <row r="175">
          <cell r="A175" t="str">
            <v>NYS Psychiatric Institute - Old</v>
          </cell>
        </row>
        <row r="176">
          <cell r="A176" t="str">
            <v>HS Miscellaneous/Campus-wide</v>
          </cell>
        </row>
        <row r="177">
          <cell r="A177" t="str">
            <v>Non-capitalized systems (software) costs</v>
          </cell>
        </row>
        <row r="178">
          <cell r="A178" t="str">
            <v>Billbacks (to schools)</v>
          </cell>
        </row>
        <row r="179">
          <cell r="A179" t="str">
            <v>Grant Match Projects</v>
          </cell>
        </row>
        <row r="180">
          <cell r="A180" t="str">
            <v>Non-Capitalized Costs</v>
          </cell>
        </row>
        <row r="181">
          <cell r="A181" t="str">
            <v>Capitalized Systems (software) Costs</v>
          </cell>
        </row>
        <row r="182">
          <cell r="A182" t="str">
            <v>Manhattanville Genenal</v>
          </cell>
        </row>
        <row r="183">
          <cell r="A183" t="str">
            <v>Rosenberg</v>
          </cell>
        </row>
        <row r="184">
          <cell r="A184" t="str">
            <v>Lee</v>
          </cell>
        </row>
        <row r="185">
          <cell r="A185" t="str">
            <v>Vickers</v>
          </cell>
        </row>
        <row r="186">
          <cell r="A186" t="str">
            <v>Harris</v>
          </cell>
        </row>
        <row r="187">
          <cell r="A187" t="str">
            <v>Andrews</v>
          </cell>
        </row>
        <row r="188">
          <cell r="A188" t="str">
            <v>Fiji</v>
          </cell>
        </row>
        <row r="189">
          <cell r="A189" t="str">
            <v>Balsom</v>
          </cell>
        </row>
        <row r="190">
          <cell r="A190" t="str">
            <v>McDonalds</v>
          </cell>
        </row>
        <row r="191">
          <cell r="A191" t="str">
            <v>Reality House</v>
          </cell>
        </row>
        <row r="192">
          <cell r="A192" t="str">
            <v>Nash</v>
          </cell>
        </row>
        <row r="193">
          <cell r="A193" t="str">
            <v>Studebaker</v>
          </cell>
        </row>
        <row r="194">
          <cell r="A194" t="str">
            <v>Center for Mind, Brain &amp; Behavior</v>
          </cell>
        </row>
        <row r="195">
          <cell r="A195" t="str">
            <v>The Factory</v>
          </cell>
        </row>
        <row r="196">
          <cell r="A196" t="str">
            <v>Energy Center</v>
          </cell>
        </row>
        <row r="197">
          <cell r="A197" t="str">
            <v>New Business School</v>
          </cell>
        </row>
        <row r="198">
          <cell r="A198" t="str">
            <v>School of the Arts</v>
          </cell>
        </row>
        <row r="199">
          <cell r="A199" t="str">
            <v>Lantern Building</v>
          </cell>
        </row>
        <row r="200">
          <cell r="A200" t="str">
            <v>Bowtie Building</v>
          </cell>
        </row>
        <row r="201">
          <cell r="A201" t="str">
            <v>School of International &amp; Public Affairs</v>
          </cell>
        </row>
        <row r="202">
          <cell r="A202" t="str">
            <v>Romanoff</v>
          </cell>
        </row>
        <row r="203">
          <cell r="A203" t="str">
            <v>Pearlgreen</v>
          </cell>
        </row>
        <row r="204">
          <cell r="A204" t="str">
            <v>Aruba</v>
          </cell>
        </row>
        <row r="205">
          <cell r="A205" t="str">
            <v>Afghanistan</v>
          </cell>
        </row>
        <row r="206">
          <cell r="A206" t="str">
            <v>Angola</v>
          </cell>
        </row>
        <row r="207">
          <cell r="A207" t="str">
            <v>Anguilla</v>
          </cell>
        </row>
        <row r="208">
          <cell r="A208" t="str">
            <v>Albania</v>
          </cell>
        </row>
        <row r="209">
          <cell r="A209" t="str">
            <v>Andorra</v>
          </cell>
        </row>
        <row r="210">
          <cell r="A210" t="str">
            <v>Netherlands Antilles</v>
          </cell>
        </row>
        <row r="211">
          <cell r="A211" t="str">
            <v>United Arab Emirates</v>
          </cell>
        </row>
        <row r="212">
          <cell r="A212" t="str">
            <v>Argentina</v>
          </cell>
        </row>
        <row r="213">
          <cell r="A213" t="str">
            <v>Armenia</v>
          </cell>
        </row>
        <row r="214">
          <cell r="A214" t="str">
            <v>American Samoa</v>
          </cell>
        </row>
        <row r="215">
          <cell r="A215" t="str">
            <v>Antarctica</v>
          </cell>
        </row>
        <row r="216">
          <cell r="A216" t="str">
            <v>French Southern Territories</v>
          </cell>
        </row>
        <row r="217">
          <cell r="A217" t="str">
            <v>Antigua and Barbuda</v>
          </cell>
        </row>
        <row r="218">
          <cell r="A218" t="str">
            <v>Australia</v>
          </cell>
        </row>
        <row r="219">
          <cell r="A219" t="str">
            <v>Austria</v>
          </cell>
        </row>
        <row r="220">
          <cell r="A220" t="str">
            <v>Azerbaijan</v>
          </cell>
        </row>
        <row r="221">
          <cell r="A221" t="str">
            <v>Burundi</v>
          </cell>
        </row>
        <row r="222">
          <cell r="A222" t="str">
            <v>Belgium</v>
          </cell>
        </row>
        <row r="223">
          <cell r="A223" t="str">
            <v>Benin</v>
          </cell>
        </row>
        <row r="224">
          <cell r="A224" t="str">
            <v>Burkina Faso</v>
          </cell>
        </row>
        <row r="225">
          <cell r="A225" t="str">
            <v>Bangladesh</v>
          </cell>
        </row>
        <row r="226">
          <cell r="A226" t="str">
            <v>Bulgaria</v>
          </cell>
        </row>
        <row r="227">
          <cell r="A227" t="str">
            <v>Bahrain</v>
          </cell>
        </row>
        <row r="228">
          <cell r="A228" t="str">
            <v>Bahamas</v>
          </cell>
        </row>
        <row r="229">
          <cell r="A229" t="str">
            <v>Bosnia and Herzegovina</v>
          </cell>
        </row>
        <row r="230">
          <cell r="A230" t="str">
            <v>Belarus</v>
          </cell>
        </row>
        <row r="231">
          <cell r="A231" t="str">
            <v>Belize</v>
          </cell>
        </row>
        <row r="232">
          <cell r="A232" t="str">
            <v>Bermuda</v>
          </cell>
        </row>
        <row r="233">
          <cell r="A233" t="str">
            <v>Bolivia</v>
          </cell>
        </row>
        <row r="234">
          <cell r="A234" t="str">
            <v>Brazil</v>
          </cell>
        </row>
        <row r="235">
          <cell r="A235" t="str">
            <v>Barbados</v>
          </cell>
        </row>
        <row r="236">
          <cell r="A236" t="str">
            <v>Brunei Darussalam</v>
          </cell>
        </row>
        <row r="237">
          <cell r="A237" t="str">
            <v>Bhutan</v>
          </cell>
        </row>
        <row r="238">
          <cell r="A238" t="str">
            <v>Bouvet Island</v>
          </cell>
        </row>
        <row r="239">
          <cell r="A239" t="str">
            <v>Botswana</v>
          </cell>
        </row>
        <row r="240">
          <cell r="A240" t="str">
            <v>Central African Republic</v>
          </cell>
        </row>
        <row r="241">
          <cell r="A241" t="str">
            <v>Canada</v>
          </cell>
        </row>
        <row r="242">
          <cell r="A242" t="str">
            <v>Cocos (Keeling) Islands</v>
          </cell>
        </row>
        <row r="243">
          <cell r="A243" t="str">
            <v>Switzerland</v>
          </cell>
        </row>
        <row r="244">
          <cell r="A244" t="str">
            <v>Chile</v>
          </cell>
        </row>
        <row r="245">
          <cell r="A245" t="str">
            <v>China</v>
          </cell>
        </row>
        <row r="246">
          <cell r="A246" t="str">
            <v>Cote D'Ivoire</v>
          </cell>
        </row>
        <row r="247">
          <cell r="A247" t="str">
            <v>Cameroon</v>
          </cell>
        </row>
        <row r="248">
          <cell r="A248" t="str">
            <v>Congo, The Democratic Republic</v>
          </cell>
        </row>
        <row r="249">
          <cell r="A249" t="str">
            <v>Congo</v>
          </cell>
        </row>
        <row r="250">
          <cell r="A250" t="str">
            <v>Cook Islands</v>
          </cell>
        </row>
        <row r="251">
          <cell r="A251" t="str">
            <v>Colombia</v>
          </cell>
        </row>
        <row r="252">
          <cell r="A252" t="str">
            <v>Comoros</v>
          </cell>
        </row>
        <row r="253">
          <cell r="A253" t="str">
            <v>Cape Verde</v>
          </cell>
        </row>
        <row r="254">
          <cell r="A254" t="str">
            <v>Costa Rica</v>
          </cell>
        </row>
        <row r="255">
          <cell r="A255" t="str">
            <v>Cuba</v>
          </cell>
        </row>
        <row r="256">
          <cell r="A256" t="str">
            <v>Christmas Island</v>
          </cell>
        </row>
        <row r="257">
          <cell r="A257" t="str">
            <v>Cayman Islands</v>
          </cell>
        </row>
        <row r="258">
          <cell r="A258" t="str">
            <v>Cyprus</v>
          </cell>
        </row>
        <row r="259">
          <cell r="A259" t="str">
            <v>Czech Republic</v>
          </cell>
        </row>
        <row r="260">
          <cell r="A260" t="str">
            <v>Germany</v>
          </cell>
        </row>
        <row r="261">
          <cell r="A261" t="str">
            <v>Djibouti</v>
          </cell>
        </row>
        <row r="262">
          <cell r="A262" t="str">
            <v>Dominica</v>
          </cell>
        </row>
        <row r="263">
          <cell r="A263" t="str">
            <v>Denmark</v>
          </cell>
        </row>
        <row r="264">
          <cell r="A264" t="str">
            <v>Dominican Republic</v>
          </cell>
        </row>
        <row r="265">
          <cell r="A265" t="str">
            <v>Algeria</v>
          </cell>
        </row>
        <row r="266">
          <cell r="A266" t="str">
            <v>Ecuador</v>
          </cell>
        </row>
        <row r="267">
          <cell r="A267" t="str">
            <v>Egypt</v>
          </cell>
        </row>
        <row r="268">
          <cell r="A268" t="str">
            <v>Eritrea</v>
          </cell>
        </row>
        <row r="269">
          <cell r="A269" t="str">
            <v>Western Sahara</v>
          </cell>
        </row>
        <row r="270">
          <cell r="A270" t="str">
            <v>Spain</v>
          </cell>
        </row>
        <row r="271">
          <cell r="A271" t="str">
            <v>Estonia</v>
          </cell>
        </row>
        <row r="272">
          <cell r="A272" t="str">
            <v>Ethiopia</v>
          </cell>
        </row>
        <row r="273">
          <cell r="A273" t="str">
            <v>Finland</v>
          </cell>
        </row>
        <row r="274">
          <cell r="A274" t="str">
            <v>Fiji</v>
          </cell>
        </row>
        <row r="275">
          <cell r="A275" t="str">
            <v>Falkland Islands (Malvinas)</v>
          </cell>
        </row>
        <row r="276">
          <cell r="A276" t="str">
            <v>France</v>
          </cell>
        </row>
        <row r="277">
          <cell r="A277" t="str">
            <v>Faroe Islands</v>
          </cell>
        </row>
        <row r="278">
          <cell r="A278" t="str">
            <v>Micronesia, Federated States</v>
          </cell>
        </row>
        <row r="279">
          <cell r="A279" t="str">
            <v>Gabon</v>
          </cell>
        </row>
        <row r="280">
          <cell r="A280" t="str">
            <v>United Kingdom</v>
          </cell>
        </row>
        <row r="281">
          <cell r="A281" t="str">
            <v>Georgia</v>
          </cell>
        </row>
        <row r="282">
          <cell r="A282" t="str">
            <v>Ghana</v>
          </cell>
        </row>
        <row r="283">
          <cell r="A283" t="str">
            <v>Gibraltar</v>
          </cell>
        </row>
        <row r="284">
          <cell r="A284" t="str">
            <v>Guinea</v>
          </cell>
        </row>
        <row r="285">
          <cell r="A285" t="str">
            <v>Guadeloupe</v>
          </cell>
        </row>
        <row r="286">
          <cell r="A286" t="str">
            <v>Gambia</v>
          </cell>
        </row>
        <row r="287">
          <cell r="A287" t="str">
            <v>Guinea-Bissau</v>
          </cell>
        </row>
        <row r="288">
          <cell r="A288" t="str">
            <v>Equatorial Guinea</v>
          </cell>
        </row>
        <row r="289">
          <cell r="A289" t="str">
            <v>Greece</v>
          </cell>
        </row>
        <row r="290">
          <cell r="A290" t="str">
            <v>Grenada</v>
          </cell>
        </row>
        <row r="291">
          <cell r="A291" t="str">
            <v>Greenland</v>
          </cell>
        </row>
        <row r="292">
          <cell r="A292" t="str">
            <v>Guatemala</v>
          </cell>
        </row>
        <row r="293">
          <cell r="A293" t="str">
            <v>French Guiana</v>
          </cell>
        </row>
        <row r="294">
          <cell r="A294" t="str">
            <v>Guam</v>
          </cell>
        </row>
        <row r="295">
          <cell r="A295" t="str">
            <v>Guyana</v>
          </cell>
        </row>
        <row r="296">
          <cell r="A296" t="str">
            <v>Hong Kong</v>
          </cell>
        </row>
        <row r="297">
          <cell r="A297" t="str">
            <v>Heard and McDonald Islands</v>
          </cell>
        </row>
        <row r="298">
          <cell r="A298" t="str">
            <v>Honduras</v>
          </cell>
        </row>
        <row r="299">
          <cell r="A299" t="str">
            <v>Croatia</v>
          </cell>
        </row>
        <row r="300">
          <cell r="A300" t="str">
            <v>Haiti</v>
          </cell>
        </row>
        <row r="301">
          <cell r="A301" t="str">
            <v>Hungary</v>
          </cell>
        </row>
        <row r="302">
          <cell r="A302" t="str">
            <v>Indonesia</v>
          </cell>
        </row>
        <row r="303">
          <cell r="A303" t="str">
            <v>India</v>
          </cell>
        </row>
        <row r="304">
          <cell r="A304" t="str">
            <v>British Indian Ocean Territory</v>
          </cell>
        </row>
        <row r="305">
          <cell r="A305" t="str">
            <v>Ireland</v>
          </cell>
        </row>
        <row r="306">
          <cell r="A306" t="str">
            <v>Iran (Islamic Republic Of)</v>
          </cell>
        </row>
        <row r="307">
          <cell r="A307" t="str">
            <v>Iraq</v>
          </cell>
        </row>
        <row r="308">
          <cell r="A308" t="str">
            <v>Iceland</v>
          </cell>
        </row>
        <row r="309">
          <cell r="A309" t="str">
            <v>Israel</v>
          </cell>
        </row>
        <row r="310">
          <cell r="A310" t="str">
            <v>Italy</v>
          </cell>
        </row>
        <row r="311">
          <cell r="A311" t="str">
            <v>Jamaica</v>
          </cell>
        </row>
        <row r="312">
          <cell r="A312" t="str">
            <v>Jordan</v>
          </cell>
        </row>
        <row r="313">
          <cell r="A313" t="str">
            <v>Japan</v>
          </cell>
        </row>
        <row r="314">
          <cell r="A314" t="str">
            <v>Kazakstan</v>
          </cell>
        </row>
        <row r="315">
          <cell r="A315" t="str">
            <v>Kenya</v>
          </cell>
        </row>
        <row r="316">
          <cell r="A316" t="str">
            <v>Kyrgyzstan</v>
          </cell>
        </row>
        <row r="317">
          <cell r="A317" t="str">
            <v>Cambodia</v>
          </cell>
        </row>
        <row r="318">
          <cell r="A318" t="str">
            <v>Kiribati</v>
          </cell>
        </row>
        <row r="319">
          <cell r="A319" t="str">
            <v>Saint Kitts and Nevis</v>
          </cell>
        </row>
        <row r="320">
          <cell r="A320" t="str">
            <v>Korea, Republic of</v>
          </cell>
        </row>
        <row r="321">
          <cell r="A321" t="str">
            <v>Kuwait</v>
          </cell>
        </row>
        <row r="322">
          <cell r="A322" t="str">
            <v>Lao People's Democratic Rep</v>
          </cell>
        </row>
        <row r="323">
          <cell r="A323" t="str">
            <v>Lebanon</v>
          </cell>
        </row>
        <row r="324">
          <cell r="A324" t="str">
            <v>Liberia</v>
          </cell>
        </row>
        <row r="325">
          <cell r="A325" t="str">
            <v>Libyan Arab Jamahiriya</v>
          </cell>
        </row>
        <row r="326">
          <cell r="A326" t="str">
            <v>Saint Lucia</v>
          </cell>
        </row>
        <row r="327">
          <cell r="A327" t="str">
            <v>Liechtenstein</v>
          </cell>
        </row>
        <row r="328">
          <cell r="A328" t="str">
            <v>Sri Lanka</v>
          </cell>
        </row>
        <row r="329">
          <cell r="A329" t="str">
            <v>Lesotho</v>
          </cell>
        </row>
        <row r="330">
          <cell r="A330" t="str">
            <v>Lithuania</v>
          </cell>
        </row>
        <row r="331">
          <cell r="A331" t="str">
            <v>Luxembourg</v>
          </cell>
        </row>
        <row r="332">
          <cell r="A332" t="str">
            <v>Latvia</v>
          </cell>
        </row>
        <row r="333">
          <cell r="A333" t="str">
            <v>Macau</v>
          </cell>
        </row>
        <row r="334">
          <cell r="A334" t="str">
            <v>Morocco</v>
          </cell>
        </row>
        <row r="335">
          <cell r="A335" t="str">
            <v>Monaco</v>
          </cell>
        </row>
        <row r="336">
          <cell r="A336" t="str">
            <v>Moldova, Republic of</v>
          </cell>
        </row>
        <row r="337">
          <cell r="A337" t="str">
            <v>Madagascar</v>
          </cell>
        </row>
        <row r="338">
          <cell r="A338" t="str">
            <v>Maldives</v>
          </cell>
        </row>
        <row r="339">
          <cell r="A339" t="str">
            <v>Mexico</v>
          </cell>
        </row>
        <row r="340">
          <cell r="A340" t="str">
            <v>Marshall Islands</v>
          </cell>
        </row>
        <row r="341">
          <cell r="A341" t="str">
            <v>Fmr Yugoslav Rep of Macedonia</v>
          </cell>
        </row>
        <row r="342">
          <cell r="A342" t="str">
            <v>Mali</v>
          </cell>
        </row>
        <row r="343">
          <cell r="A343" t="str">
            <v>Malta</v>
          </cell>
        </row>
        <row r="344">
          <cell r="A344" t="str">
            <v>Myanmar</v>
          </cell>
        </row>
        <row r="345">
          <cell r="A345" t="str">
            <v>Montenegro</v>
          </cell>
        </row>
        <row r="346">
          <cell r="A346" t="str">
            <v>Mongolia</v>
          </cell>
        </row>
        <row r="347">
          <cell r="A347" t="str">
            <v>Northern Mariana Islands</v>
          </cell>
        </row>
        <row r="348">
          <cell r="A348" t="str">
            <v>Mozambique</v>
          </cell>
        </row>
        <row r="349">
          <cell r="A349" t="str">
            <v>Mauritania</v>
          </cell>
        </row>
        <row r="350">
          <cell r="A350" t="str">
            <v>Montserrat</v>
          </cell>
        </row>
        <row r="351">
          <cell r="A351" t="str">
            <v>Martinique</v>
          </cell>
        </row>
        <row r="352">
          <cell r="A352" t="str">
            <v>Mauritius</v>
          </cell>
        </row>
        <row r="353">
          <cell r="A353" t="str">
            <v>Malawi</v>
          </cell>
        </row>
        <row r="354">
          <cell r="A354" t="str">
            <v>Malaysia</v>
          </cell>
        </row>
        <row r="355">
          <cell r="A355" t="str">
            <v>Mayotte</v>
          </cell>
        </row>
        <row r="356">
          <cell r="A356" t="str">
            <v>Namibia</v>
          </cell>
        </row>
        <row r="357">
          <cell r="A357" t="str">
            <v>New Caledonia</v>
          </cell>
        </row>
        <row r="358">
          <cell r="A358" t="str">
            <v>Niger</v>
          </cell>
        </row>
        <row r="359">
          <cell r="A359" t="str">
            <v>Norfolk Island</v>
          </cell>
        </row>
        <row r="360">
          <cell r="A360" t="str">
            <v>Nigeria</v>
          </cell>
        </row>
        <row r="361">
          <cell r="A361" t="str">
            <v>Nicaragua</v>
          </cell>
        </row>
        <row r="362">
          <cell r="A362" t="str">
            <v>Niue</v>
          </cell>
        </row>
        <row r="363">
          <cell r="A363" t="str">
            <v>Netherlands</v>
          </cell>
        </row>
        <row r="364">
          <cell r="A364" t="str">
            <v>Norway</v>
          </cell>
        </row>
        <row r="365">
          <cell r="A365" t="str">
            <v>Nepal</v>
          </cell>
        </row>
        <row r="366">
          <cell r="A366" t="str">
            <v>Nauru</v>
          </cell>
        </row>
        <row r="367">
          <cell r="A367" t="str">
            <v>New Zealand</v>
          </cell>
        </row>
        <row r="368">
          <cell r="A368" t="str">
            <v>Oman</v>
          </cell>
        </row>
        <row r="369">
          <cell r="A369" t="str">
            <v>Pakistan</v>
          </cell>
        </row>
        <row r="370">
          <cell r="A370" t="str">
            <v>Panama</v>
          </cell>
        </row>
        <row r="371">
          <cell r="A371" t="str">
            <v>Pitcairn</v>
          </cell>
        </row>
        <row r="372">
          <cell r="A372" t="str">
            <v>Peru</v>
          </cell>
        </row>
        <row r="373">
          <cell r="A373" t="str">
            <v>Philippines</v>
          </cell>
        </row>
        <row r="374">
          <cell r="A374" t="str">
            <v>Palau</v>
          </cell>
        </row>
        <row r="375">
          <cell r="A375" t="str">
            <v>Papua New Guinea</v>
          </cell>
        </row>
        <row r="376">
          <cell r="A376" t="str">
            <v>Poland</v>
          </cell>
        </row>
        <row r="377">
          <cell r="A377" t="str">
            <v>Puerto Rico</v>
          </cell>
        </row>
        <row r="378">
          <cell r="A378" t="str">
            <v>Korea, Democratic People's Rep</v>
          </cell>
        </row>
        <row r="379">
          <cell r="A379" t="str">
            <v>Portugal</v>
          </cell>
        </row>
        <row r="380">
          <cell r="A380" t="str">
            <v>Paraguay</v>
          </cell>
        </row>
        <row r="381">
          <cell r="A381" t="str">
            <v>French Polynesia</v>
          </cell>
        </row>
        <row r="382">
          <cell r="A382" t="str">
            <v>Qatar</v>
          </cell>
        </row>
        <row r="383">
          <cell r="A383" t="str">
            <v>Reunion</v>
          </cell>
        </row>
        <row r="384">
          <cell r="A384" t="str">
            <v>Romania</v>
          </cell>
        </row>
        <row r="385">
          <cell r="A385" t="str">
            <v>Russian Federation</v>
          </cell>
        </row>
        <row r="386">
          <cell r="A386" t="str">
            <v>Rwanda</v>
          </cell>
        </row>
        <row r="387">
          <cell r="A387" t="str">
            <v>Saudi Arabia</v>
          </cell>
        </row>
        <row r="388">
          <cell r="A388" t="str">
            <v>Sudan</v>
          </cell>
        </row>
        <row r="389">
          <cell r="A389" t="str">
            <v>Senegal</v>
          </cell>
        </row>
        <row r="390">
          <cell r="A390" t="str">
            <v>Singapore</v>
          </cell>
        </row>
        <row r="391">
          <cell r="A391" t="str">
            <v>Sth Georgia &amp; Sth Sandwich Is</v>
          </cell>
        </row>
        <row r="392">
          <cell r="A392" t="str">
            <v>Saint Helena</v>
          </cell>
        </row>
        <row r="393">
          <cell r="A393" t="str">
            <v>Svalbard and Jan Mayen</v>
          </cell>
        </row>
        <row r="394">
          <cell r="A394" t="str">
            <v>Solomon Islands</v>
          </cell>
        </row>
        <row r="395">
          <cell r="A395" t="str">
            <v>Sierra Leone</v>
          </cell>
        </row>
        <row r="396">
          <cell r="A396" t="str">
            <v>El Salvador</v>
          </cell>
        </row>
        <row r="397">
          <cell r="A397" t="str">
            <v>San Marino</v>
          </cell>
        </row>
        <row r="398">
          <cell r="A398" t="str">
            <v>Somalia</v>
          </cell>
        </row>
        <row r="399">
          <cell r="A399" t="str">
            <v>Saint Pierre and Miquelon</v>
          </cell>
        </row>
        <row r="400">
          <cell r="A400" t="str">
            <v>Republic of Serbia</v>
          </cell>
        </row>
        <row r="401">
          <cell r="A401" t="str">
            <v>Sao Tome and Principe</v>
          </cell>
        </row>
        <row r="402">
          <cell r="A402" t="str">
            <v>Suriname</v>
          </cell>
        </row>
        <row r="403">
          <cell r="A403" t="str">
            <v>Slovakia</v>
          </cell>
        </row>
        <row r="404">
          <cell r="A404" t="str">
            <v>Slovenia</v>
          </cell>
        </row>
        <row r="405">
          <cell r="A405" t="str">
            <v>Sweden</v>
          </cell>
        </row>
        <row r="406">
          <cell r="A406" t="str">
            <v>Swaziland</v>
          </cell>
        </row>
        <row r="407">
          <cell r="A407" t="str">
            <v>Seychelles</v>
          </cell>
        </row>
        <row r="408">
          <cell r="A408" t="str">
            <v>Syrian Arab Republic</v>
          </cell>
        </row>
        <row r="409">
          <cell r="A409" t="str">
            <v>Turks and Caicos Islands</v>
          </cell>
        </row>
        <row r="410">
          <cell r="A410" t="str">
            <v>Chad</v>
          </cell>
        </row>
        <row r="411">
          <cell r="A411" t="str">
            <v>Togo</v>
          </cell>
        </row>
        <row r="412">
          <cell r="A412" t="str">
            <v>Thailand</v>
          </cell>
        </row>
        <row r="413">
          <cell r="A413" t="str">
            <v>Tajikistan</v>
          </cell>
        </row>
        <row r="414">
          <cell r="A414" t="str">
            <v>Tokelau</v>
          </cell>
        </row>
        <row r="415">
          <cell r="A415" t="str">
            <v>Turkmenistan</v>
          </cell>
        </row>
        <row r="416">
          <cell r="A416" t="str">
            <v>East Timor</v>
          </cell>
        </row>
        <row r="417">
          <cell r="A417" t="str">
            <v>Tonga</v>
          </cell>
        </row>
        <row r="418">
          <cell r="A418" t="str">
            <v>Trinidad and Tobago</v>
          </cell>
        </row>
        <row r="419">
          <cell r="A419" t="str">
            <v>Tunisia</v>
          </cell>
        </row>
        <row r="420">
          <cell r="A420" t="str">
            <v>Turkey</v>
          </cell>
        </row>
        <row r="421">
          <cell r="A421" t="str">
            <v>Tuvalu</v>
          </cell>
        </row>
        <row r="422">
          <cell r="A422" t="str">
            <v>Taiwan, Province of China</v>
          </cell>
        </row>
        <row r="423">
          <cell r="A423" t="str">
            <v>Tanzania, United Republic of</v>
          </cell>
        </row>
        <row r="424">
          <cell r="A424" t="str">
            <v>Uganda</v>
          </cell>
        </row>
        <row r="425">
          <cell r="A425" t="str">
            <v>Ukraine</v>
          </cell>
        </row>
        <row r="426">
          <cell r="A426" t="str">
            <v>US Minor Outlying Islands</v>
          </cell>
        </row>
        <row r="427">
          <cell r="A427" t="str">
            <v>Uruguay</v>
          </cell>
        </row>
        <row r="428">
          <cell r="A428" t="str">
            <v>United States</v>
          </cell>
        </row>
        <row r="429">
          <cell r="A429" t="str">
            <v>Uzbekistan</v>
          </cell>
        </row>
        <row r="430">
          <cell r="A430" t="str">
            <v>Holy See (Vatican City State)</v>
          </cell>
        </row>
        <row r="431">
          <cell r="A431" t="str">
            <v>St Vincent and the Grenadines</v>
          </cell>
        </row>
        <row r="432">
          <cell r="A432" t="str">
            <v>Venezuela</v>
          </cell>
        </row>
        <row r="433">
          <cell r="A433" t="str">
            <v>Virgin Islands (British)</v>
          </cell>
        </row>
        <row r="434">
          <cell r="A434" t="str">
            <v>Virgin Islands (U.S.)</v>
          </cell>
        </row>
        <row r="435">
          <cell r="A435" t="str">
            <v>Viet Nam</v>
          </cell>
        </row>
        <row r="436">
          <cell r="A436" t="str">
            <v>Vanuatu</v>
          </cell>
        </row>
        <row r="437">
          <cell r="A437" t="str">
            <v>Wallis and Futuna Islands</v>
          </cell>
        </row>
        <row r="438">
          <cell r="A438" t="str">
            <v>Samoa</v>
          </cell>
        </row>
        <row r="439">
          <cell r="A439" t="str">
            <v>Yemen</v>
          </cell>
        </row>
        <row r="440">
          <cell r="A440" t="str">
            <v>Yugoslavia</v>
          </cell>
        </row>
        <row r="441">
          <cell r="A441" t="str">
            <v>South Africa</v>
          </cell>
        </row>
        <row r="442">
          <cell r="A442" t="str">
            <v>Zambia</v>
          </cell>
        </row>
        <row r="443">
          <cell r="A443" t="str">
            <v>Zimbabwe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14"/>
  <sheetViews>
    <sheetView zoomScale="90" zoomScaleNormal="90" workbookViewId="0">
      <pane ySplit="1" topLeftCell="A1174" activePane="bottomLeft" state="frozen"/>
      <selection pane="bottomLeft" activeCell="C905" sqref="C905:C928"/>
    </sheetView>
  </sheetViews>
  <sheetFormatPr defaultRowHeight="15" x14ac:dyDescent="0.25"/>
  <cols>
    <col min="1" max="2" width="16" style="10" customWidth="1"/>
    <col min="3" max="3" width="62.85546875" bestFit="1" customWidth="1"/>
    <col min="5" max="5" width="22.7109375" bestFit="1" customWidth="1"/>
  </cols>
  <sheetData>
    <row r="1" spans="1:7" x14ac:dyDescent="0.25">
      <c r="A1" s="1" t="s">
        <v>0</v>
      </c>
      <c r="B1" s="2"/>
      <c r="C1" s="2" t="s">
        <v>1</v>
      </c>
    </row>
    <row r="2" spans="1:7" ht="15.75" x14ac:dyDescent="0.3">
      <c r="A2" s="5" t="s">
        <v>2232</v>
      </c>
      <c r="B2" s="5" t="s">
        <v>2265</v>
      </c>
      <c r="C2" s="3" t="s">
        <v>3</v>
      </c>
      <c r="D2" s="4"/>
      <c r="E2" s="4"/>
      <c r="F2" s="4"/>
      <c r="G2" s="4"/>
    </row>
    <row r="3" spans="1:7" ht="15.75" x14ac:dyDescent="0.3">
      <c r="A3" s="5" t="s">
        <v>2233</v>
      </c>
      <c r="B3" s="5" t="s">
        <v>2266</v>
      </c>
      <c r="C3" s="3" t="s">
        <v>4</v>
      </c>
      <c r="D3" s="4"/>
      <c r="E3" s="4"/>
      <c r="F3" s="4"/>
      <c r="G3" s="4"/>
    </row>
    <row r="4" spans="1:7" ht="15.75" x14ac:dyDescent="0.3">
      <c r="A4" s="5" t="s">
        <v>2234</v>
      </c>
      <c r="B4" s="5" t="s">
        <v>2267</v>
      </c>
      <c r="C4" s="3" t="s">
        <v>51</v>
      </c>
      <c r="D4" s="4"/>
      <c r="E4" s="4"/>
      <c r="F4" s="4"/>
      <c r="G4" s="4"/>
    </row>
    <row r="5" spans="1:7" ht="15.75" x14ac:dyDescent="0.3">
      <c r="A5" s="5" t="s">
        <v>2235</v>
      </c>
      <c r="B5" s="5" t="s">
        <v>2268</v>
      </c>
      <c r="C5" s="3" t="s">
        <v>4</v>
      </c>
      <c r="D5" s="4"/>
      <c r="E5" s="4"/>
      <c r="F5" s="4"/>
      <c r="G5" s="4"/>
    </row>
    <row r="6" spans="1:7" ht="15.75" x14ac:dyDescent="0.3">
      <c r="A6" s="5" t="s">
        <v>2236</v>
      </c>
      <c r="B6" s="5" t="s">
        <v>2269</v>
      </c>
      <c r="C6" s="3" t="s">
        <v>52</v>
      </c>
      <c r="D6" s="4"/>
      <c r="E6" s="4"/>
      <c r="F6" s="4"/>
      <c r="G6" s="4"/>
    </row>
    <row r="7" spans="1:7" ht="15.75" x14ac:dyDescent="0.3">
      <c r="A7" s="5" t="s">
        <v>2237</v>
      </c>
      <c r="B7" s="5" t="s">
        <v>2270</v>
      </c>
      <c r="C7" s="3" t="s">
        <v>5</v>
      </c>
      <c r="D7" s="4"/>
      <c r="E7" s="4"/>
      <c r="F7" s="4"/>
      <c r="G7" s="4"/>
    </row>
    <row r="8" spans="1:7" ht="15.75" x14ac:dyDescent="0.3">
      <c r="A8" s="5" t="s">
        <v>2238</v>
      </c>
      <c r="B8" s="5" t="s">
        <v>2271</v>
      </c>
      <c r="C8" s="3" t="s">
        <v>53</v>
      </c>
      <c r="D8" s="4"/>
      <c r="E8" s="4"/>
      <c r="F8" s="4"/>
      <c r="G8" s="4"/>
    </row>
    <row r="9" spans="1:7" ht="15.75" x14ac:dyDescent="0.3">
      <c r="A9" s="5" t="s">
        <v>2239</v>
      </c>
      <c r="B9" s="5" t="s">
        <v>2272</v>
      </c>
      <c r="C9" s="3" t="s">
        <v>6</v>
      </c>
      <c r="D9" s="4"/>
      <c r="E9" s="4"/>
      <c r="F9" s="4"/>
      <c r="G9" s="4"/>
    </row>
    <row r="10" spans="1:7" ht="15.75" x14ac:dyDescent="0.3">
      <c r="A10" s="5" t="s">
        <v>2240</v>
      </c>
      <c r="B10" s="5" t="s">
        <v>2273</v>
      </c>
      <c r="C10" s="3" t="s">
        <v>54</v>
      </c>
      <c r="D10" s="4"/>
      <c r="E10" s="4"/>
      <c r="F10" s="4"/>
      <c r="G10" s="4"/>
    </row>
    <row r="11" spans="1:7" ht="15.75" x14ac:dyDescent="0.3">
      <c r="A11" s="5" t="s">
        <v>2241</v>
      </c>
      <c r="B11" s="5" t="s">
        <v>2274</v>
      </c>
      <c r="C11" s="3" t="s">
        <v>55</v>
      </c>
      <c r="D11" s="4"/>
      <c r="E11" s="4"/>
      <c r="F11" s="4"/>
      <c r="G11" s="4"/>
    </row>
    <row r="12" spans="1:7" ht="15.75" x14ac:dyDescent="0.3">
      <c r="A12" s="5" t="s">
        <v>2242</v>
      </c>
      <c r="B12" s="5" t="s">
        <v>2275</v>
      </c>
      <c r="C12" s="3" t="s">
        <v>56</v>
      </c>
      <c r="D12" s="4"/>
      <c r="E12" s="4"/>
      <c r="F12" s="4"/>
      <c r="G12" s="4"/>
    </row>
    <row r="13" spans="1:7" ht="15.75" x14ac:dyDescent="0.3">
      <c r="A13" s="5" t="s">
        <v>2243</v>
      </c>
      <c r="B13" s="5" t="s">
        <v>2276</v>
      </c>
      <c r="C13" s="3" t="s">
        <v>57</v>
      </c>
      <c r="D13" s="4"/>
      <c r="E13" s="4"/>
      <c r="F13" s="4"/>
      <c r="G13" s="4"/>
    </row>
    <row r="14" spans="1:7" ht="15.75" x14ac:dyDescent="0.3">
      <c r="A14" s="5" t="s">
        <v>2244</v>
      </c>
      <c r="B14" s="5" t="s">
        <v>2277</v>
      </c>
      <c r="C14" s="3" t="s">
        <v>58</v>
      </c>
      <c r="D14" s="4"/>
      <c r="E14" s="4"/>
      <c r="F14" s="4"/>
      <c r="G14" s="4"/>
    </row>
    <row r="15" spans="1:7" ht="15.75" x14ac:dyDescent="0.3">
      <c r="A15" s="5" t="s">
        <v>2245</v>
      </c>
      <c r="B15" s="5" t="s">
        <v>2278</v>
      </c>
      <c r="C15" s="3" t="s">
        <v>59</v>
      </c>
      <c r="D15" s="4"/>
      <c r="E15" s="4"/>
      <c r="F15" s="4"/>
      <c r="G15" s="4"/>
    </row>
    <row r="16" spans="1:7" ht="15.75" x14ac:dyDescent="0.3">
      <c r="A16" s="5" t="s">
        <v>2246</v>
      </c>
      <c r="B16" s="5" t="s">
        <v>2279</v>
      </c>
      <c r="C16" s="3" t="s">
        <v>60</v>
      </c>
      <c r="D16" s="4"/>
      <c r="E16" s="4"/>
      <c r="F16" s="4"/>
      <c r="G16" s="4"/>
    </row>
    <row r="17" spans="1:7" ht="15.75" x14ac:dyDescent="0.3">
      <c r="A17" s="5" t="s">
        <v>2247</v>
      </c>
      <c r="B17" s="5" t="s">
        <v>2280</v>
      </c>
      <c r="C17" s="3" t="s">
        <v>61</v>
      </c>
      <c r="D17" s="4"/>
      <c r="E17" s="4"/>
      <c r="F17" s="4"/>
      <c r="G17" s="4"/>
    </row>
    <row r="18" spans="1:7" ht="15.75" x14ac:dyDescent="0.3">
      <c r="A18" s="5" t="s">
        <v>2248</v>
      </c>
      <c r="B18" s="5" t="s">
        <v>2281</v>
      </c>
      <c r="C18" s="3" t="s">
        <v>62</v>
      </c>
      <c r="D18" s="4"/>
      <c r="E18" s="4"/>
      <c r="F18" s="4"/>
      <c r="G18" s="4"/>
    </row>
    <row r="19" spans="1:7" ht="15.75" x14ac:dyDescent="0.3">
      <c r="A19" s="5" t="s">
        <v>2249</v>
      </c>
      <c r="B19" s="5" t="s">
        <v>2282</v>
      </c>
      <c r="C19" s="3" t="s">
        <v>63</v>
      </c>
      <c r="D19" s="4"/>
      <c r="E19" s="4"/>
      <c r="F19" s="4"/>
      <c r="G19" s="4"/>
    </row>
    <row r="20" spans="1:7" ht="15.75" x14ac:dyDescent="0.3">
      <c r="A20" s="5" t="s">
        <v>2250</v>
      </c>
      <c r="B20" s="5" t="s">
        <v>2283</v>
      </c>
      <c r="C20" s="3" t="s">
        <v>64</v>
      </c>
      <c r="D20" s="4"/>
      <c r="E20" s="4"/>
      <c r="F20" s="4"/>
      <c r="G20" s="4"/>
    </row>
    <row r="21" spans="1:7" ht="15.75" x14ac:dyDescent="0.3">
      <c r="A21" s="5" t="s">
        <v>2251</v>
      </c>
      <c r="B21" s="5" t="s">
        <v>2284</v>
      </c>
      <c r="C21" s="3" t="s">
        <v>65</v>
      </c>
      <c r="D21" s="4"/>
      <c r="E21" s="4"/>
      <c r="F21" s="4"/>
      <c r="G21" s="4"/>
    </row>
    <row r="22" spans="1:7" ht="15.75" x14ac:dyDescent="0.3">
      <c r="A22" s="5" t="s">
        <v>2252</v>
      </c>
      <c r="B22" s="5" t="s">
        <v>2285</v>
      </c>
      <c r="C22" s="3" t="s">
        <v>66</v>
      </c>
      <c r="D22" s="4"/>
      <c r="E22" s="4"/>
      <c r="F22" s="4"/>
      <c r="G22" s="4"/>
    </row>
    <row r="23" spans="1:7" ht="15.75" x14ac:dyDescent="0.3">
      <c r="A23" s="5" t="s">
        <v>2253</v>
      </c>
      <c r="B23" s="5" t="s">
        <v>2286</v>
      </c>
      <c r="C23" s="3" t="s">
        <v>67</v>
      </c>
      <c r="D23" s="4"/>
      <c r="E23" s="4"/>
      <c r="F23" s="4"/>
      <c r="G23" s="4"/>
    </row>
    <row r="24" spans="1:7" ht="15.75" x14ac:dyDescent="0.3">
      <c r="A24" s="5" t="s">
        <v>2254</v>
      </c>
      <c r="B24" s="5" t="s">
        <v>2287</v>
      </c>
      <c r="C24" s="3" t="s">
        <v>68</v>
      </c>
      <c r="D24" s="4"/>
      <c r="E24" s="4"/>
      <c r="F24" s="4"/>
      <c r="G24" s="4"/>
    </row>
    <row r="25" spans="1:7" ht="15.75" x14ac:dyDescent="0.3">
      <c r="A25" s="5" t="s">
        <v>2255</v>
      </c>
      <c r="B25" s="5" t="s">
        <v>2288</v>
      </c>
      <c r="C25" s="3" t="s">
        <v>69</v>
      </c>
      <c r="D25" s="4"/>
      <c r="E25" s="4"/>
      <c r="F25" s="4"/>
      <c r="G25" s="4"/>
    </row>
    <row r="26" spans="1:7" ht="15.75" x14ac:dyDescent="0.3">
      <c r="A26" s="5" t="s">
        <v>2256</v>
      </c>
      <c r="B26" s="5" t="s">
        <v>2289</v>
      </c>
      <c r="C26" s="3" t="s">
        <v>70</v>
      </c>
      <c r="D26" s="4"/>
      <c r="E26" s="4"/>
      <c r="F26" s="4"/>
      <c r="G26" s="4"/>
    </row>
    <row r="27" spans="1:7" ht="15.75" x14ac:dyDescent="0.3">
      <c r="A27" s="5" t="s">
        <v>2257</v>
      </c>
      <c r="B27" s="5" t="s">
        <v>2290</v>
      </c>
      <c r="C27" s="3" t="s">
        <v>71</v>
      </c>
      <c r="D27" s="4"/>
      <c r="E27" s="4"/>
      <c r="F27" s="4"/>
      <c r="G27" s="4"/>
    </row>
    <row r="28" spans="1:7" ht="15.75" x14ac:dyDescent="0.3">
      <c r="A28" s="5" t="s">
        <v>2258</v>
      </c>
      <c r="B28" s="5" t="s">
        <v>2291</v>
      </c>
      <c r="C28" s="3" t="s">
        <v>72</v>
      </c>
      <c r="D28" s="4"/>
      <c r="E28" s="4"/>
      <c r="F28" s="4"/>
      <c r="G28" s="4"/>
    </row>
    <row r="29" spans="1:7" ht="15.75" x14ac:dyDescent="0.3">
      <c r="A29" s="5" t="s">
        <v>2259</v>
      </c>
      <c r="B29" s="5" t="s">
        <v>2292</v>
      </c>
      <c r="C29" s="3" t="s">
        <v>73</v>
      </c>
      <c r="D29" s="4"/>
      <c r="E29" s="4"/>
      <c r="F29" s="4"/>
      <c r="G29" s="4"/>
    </row>
    <row r="30" spans="1:7" ht="15.75" x14ac:dyDescent="0.3">
      <c r="A30" s="5" t="s">
        <v>2260</v>
      </c>
      <c r="B30" s="5" t="s">
        <v>2293</v>
      </c>
      <c r="C30" s="3" t="s">
        <v>74</v>
      </c>
      <c r="D30" s="4"/>
      <c r="E30" s="4"/>
      <c r="F30" s="4"/>
      <c r="G30" s="4"/>
    </row>
    <row r="31" spans="1:7" ht="15.75" x14ac:dyDescent="0.3">
      <c r="A31" s="5" t="s">
        <v>2261</v>
      </c>
      <c r="B31" s="5" t="s">
        <v>2294</v>
      </c>
      <c r="C31" s="3" t="s">
        <v>75</v>
      </c>
      <c r="D31" s="4"/>
      <c r="E31" s="4"/>
      <c r="F31" s="4"/>
      <c r="G31" s="4"/>
    </row>
    <row r="32" spans="1:7" ht="15.75" x14ac:dyDescent="0.3">
      <c r="A32" s="5" t="s">
        <v>2262</v>
      </c>
      <c r="B32" s="5" t="s">
        <v>2295</v>
      </c>
      <c r="C32" s="3" t="s">
        <v>76</v>
      </c>
      <c r="D32" s="4"/>
      <c r="E32" s="4"/>
      <c r="F32" s="4"/>
      <c r="G32" s="4"/>
    </row>
    <row r="33" spans="1:7" ht="15.75" x14ac:dyDescent="0.3">
      <c r="A33" s="5" t="s">
        <v>2263</v>
      </c>
      <c r="B33" s="5" t="s">
        <v>2296</v>
      </c>
      <c r="C33" s="3" t="s">
        <v>77</v>
      </c>
      <c r="D33" s="4"/>
      <c r="E33" s="4"/>
      <c r="F33" s="4"/>
      <c r="G33" s="4"/>
    </row>
    <row r="34" spans="1:7" ht="15.75" x14ac:dyDescent="0.3">
      <c r="A34" s="5" t="s">
        <v>2264</v>
      </c>
      <c r="B34" s="5" t="s">
        <v>2297</v>
      </c>
      <c r="C34" s="3" t="s">
        <v>78</v>
      </c>
      <c r="D34" s="4"/>
      <c r="E34" s="4"/>
      <c r="F34" s="4"/>
      <c r="G34" s="4"/>
    </row>
    <row r="35" spans="1:7" ht="15.75" x14ac:dyDescent="0.3">
      <c r="A35" s="5" t="s">
        <v>79</v>
      </c>
      <c r="B35" s="5" t="str">
        <f>REPLACE(A35,1,9,"7532xxx")</f>
        <v>7532xxx</v>
      </c>
      <c r="C35" s="3" t="s">
        <v>80</v>
      </c>
      <c r="D35" s="4"/>
      <c r="E35" s="4"/>
      <c r="F35" s="4"/>
      <c r="G35" s="4"/>
    </row>
    <row r="36" spans="1:7" ht="15.75" x14ac:dyDescent="0.3">
      <c r="A36" s="5" t="s">
        <v>81</v>
      </c>
      <c r="B36" s="5" t="str">
        <f>REPLACE(A36,1,9,"7534xxx")</f>
        <v>7534xxx</v>
      </c>
      <c r="C36" s="3" t="s">
        <v>82</v>
      </c>
      <c r="D36" s="4"/>
      <c r="E36" s="4"/>
      <c r="F36" s="4"/>
      <c r="G36" s="4"/>
    </row>
    <row r="37" spans="1:7" ht="15.75" x14ac:dyDescent="0.3">
      <c r="A37" s="5" t="s">
        <v>83</v>
      </c>
      <c r="B37" s="5" t="str">
        <f>REPLACE(A37,1,9,"7536xxx")</f>
        <v>7536xxx</v>
      </c>
      <c r="C37" s="3" t="s">
        <v>84</v>
      </c>
      <c r="D37" s="4"/>
      <c r="E37" s="4"/>
      <c r="F37" s="4"/>
      <c r="G37" s="4"/>
    </row>
    <row r="38" spans="1:7" ht="15.75" x14ac:dyDescent="0.3">
      <c r="A38" s="5" t="s">
        <v>85</v>
      </c>
      <c r="B38" s="5" t="str">
        <f>REPLACE(A38,1,9,"7538xxx")</f>
        <v>7538xxx</v>
      </c>
      <c r="C38" s="3" t="s">
        <v>86</v>
      </c>
      <c r="D38" s="4"/>
      <c r="E38" s="4"/>
      <c r="F38" s="4"/>
      <c r="G38" s="4"/>
    </row>
    <row r="39" spans="1:7" ht="15.75" x14ac:dyDescent="0.3">
      <c r="A39" s="5" t="s">
        <v>87</v>
      </c>
      <c r="B39" s="5" t="str">
        <f>REPLACE(A39,1,9,"7540xxx")</f>
        <v>7540xxx</v>
      </c>
      <c r="C39" s="3" t="s">
        <v>88</v>
      </c>
      <c r="D39" s="4"/>
      <c r="E39" s="4"/>
      <c r="F39" s="4"/>
      <c r="G39" s="4"/>
    </row>
    <row r="40" spans="1:7" ht="15.75" x14ac:dyDescent="0.3">
      <c r="A40" s="5" t="s">
        <v>89</v>
      </c>
      <c r="B40" s="5" t="str">
        <f>REPLACE(A40,1,9,"7543xxx")</f>
        <v>7543xxx</v>
      </c>
      <c r="C40" s="3" t="s">
        <v>90</v>
      </c>
      <c r="D40" s="4"/>
      <c r="E40" s="4"/>
      <c r="F40" s="4"/>
      <c r="G40" s="4"/>
    </row>
    <row r="41" spans="1:7" ht="15.75" x14ac:dyDescent="0.3">
      <c r="A41" s="5" t="s">
        <v>91</v>
      </c>
      <c r="B41" s="5" t="str">
        <f>REPLACE(A41,1,9,"7547xxx")</f>
        <v>7547xxx</v>
      </c>
      <c r="C41" s="3" t="s">
        <v>92</v>
      </c>
      <c r="D41" s="4"/>
      <c r="E41" s="4"/>
      <c r="F41" s="4"/>
      <c r="G41" s="4"/>
    </row>
    <row r="42" spans="1:7" ht="15.75" x14ac:dyDescent="0.3">
      <c r="A42" s="5" t="s">
        <v>93</v>
      </c>
      <c r="B42" s="5" t="str">
        <f>REPLACE(A42,1,9,"7549xxx")</f>
        <v>7549xxx</v>
      </c>
      <c r="C42" s="3" t="s">
        <v>94</v>
      </c>
      <c r="D42" s="4"/>
      <c r="E42" s="4"/>
      <c r="F42" s="4"/>
      <c r="G42" s="4"/>
    </row>
    <row r="43" spans="1:7" ht="15.75" x14ac:dyDescent="0.3">
      <c r="A43" s="5" t="s">
        <v>95</v>
      </c>
      <c r="B43" s="5" t="str">
        <f>REPLACE(A43,1,9,"7551xxx")</f>
        <v>7551xxx</v>
      </c>
      <c r="C43" s="3" t="s">
        <v>96</v>
      </c>
      <c r="D43" s="4"/>
      <c r="E43" s="4"/>
      <c r="F43" s="4"/>
      <c r="G43" s="4"/>
    </row>
    <row r="44" spans="1:7" ht="15.75" x14ac:dyDescent="0.3">
      <c r="A44" s="5" t="s">
        <v>97</v>
      </c>
      <c r="B44" s="5" t="str">
        <f>REPLACE(A44,1,9,"7553xxx")</f>
        <v>7553xxx</v>
      </c>
      <c r="C44" s="3" t="s">
        <v>98</v>
      </c>
      <c r="D44" s="4"/>
      <c r="E44" s="4"/>
      <c r="F44" s="4"/>
      <c r="G44" s="4"/>
    </row>
    <row r="45" spans="1:7" ht="15.75" x14ac:dyDescent="0.3">
      <c r="A45" s="5" t="s">
        <v>99</v>
      </c>
      <c r="B45" s="5" t="str">
        <f>REPLACE(A45,1,9,"7560xxx")</f>
        <v>7560xxx</v>
      </c>
      <c r="C45" s="3" t="s">
        <v>100</v>
      </c>
      <c r="D45" s="4"/>
      <c r="E45" s="4"/>
      <c r="F45" s="4"/>
      <c r="G45" s="4"/>
    </row>
    <row r="46" spans="1:7" ht="15.75" x14ac:dyDescent="0.3">
      <c r="A46" s="5" t="s">
        <v>101</v>
      </c>
      <c r="B46" s="5" t="str">
        <f>REPLACE(A46,1,9,"7595xxx")</f>
        <v>7595xxx</v>
      </c>
      <c r="C46" s="3" t="s">
        <v>102</v>
      </c>
      <c r="D46" s="4"/>
      <c r="E46" s="4"/>
      <c r="F46" s="4"/>
      <c r="G46" s="4"/>
    </row>
    <row r="47" spans="1:7" ht="15.75" x14ac:dyDescent="0.3">
      <c r="A47" s="5" t="s">
        <v>103</v>
      </c>
      <c r="B47" s="5" t="str">
        <f>REPLACE(A47,1,9,"7571xxx")</f>
        <v>7571xxx</v>
      </c>
      <c r="C47" s="3" t="s">
        <v>104</v>
      </c>
      <c r="D47" s="4"/>
      <c r="E47" s="4"/>
      <c r="F47" s="4"/>
      <c r="G47" s="4"/>
    </row>
    <row r="48" spans="1:7" ht="15.75" x14ac:dyDescent="0.3">
      <c r="A48" s="5" t="s">
        <v>105</v>
      </c>
      <c r="B48" s="5" t="str">
        <f>REPLACE(A48,1,9,"7573xxx")</f>
        <v>7573xxx</v>
      </c>
      <c r="C48" s="3" t="s">
        <v>106</v>
      </c>
      <c r="D48" s="4"/>
      <c r="E48" s="4"/>
      <c r="F48" s="4"/>
      <c r="G48" s="4"/>
    </row>
    <row r="49" spans="1:7" ht="15.75" x14ac:dyDescent="0.3">
      <c r="A49" s="5" t="s">
        <v>107</v>
      </c>
      <c r="B49" s="5" t="str">
        <f>REPLACE(A49,1,9,"7574xxx")</f>
        <v>7574xxx</v>
      </c>
      <c r="C49" s="3" t="s">
        <v>108</v>
      </c>
      <c r="D49" s="4"/>
      <c r="E49" s="4"/>
      <c r="F49" s="4"/>
      <c r="G49" s="4"/>
    </row>
    <row r="50" spans="1:7" ht="15.75" x14ac:dyDescent="0.3">
      <c r="A50" s="5" t="s">
        <v>109</v>
      </c>
      <c r="B50" s="5" t="str">
        <f>REPLACE(A50,1,9,"7575xxx")</f>
        <v>7575xxx</v>
      </c>
      <c r="C50" s="3" t="s">
        <v>110</v>
      </c>
      <c r="D50" s="4"/>
      <c r="E50" s="4"/>
      <c r="F50" s="4"/>
      <c r="G50" s="4"/>
    </row>
    <row r="51" spans="1:7" ht="15.75" x14ac:dyDescent="0.3">
      <c r="A51" s="5" t="s">
        <v>111</v>
      </c>
      <c r="B51" s="5" t="str">
        <f>REPLACE(A51,1,9,"7576xxx")</f>
        <v>7576xxx</v>
      </c>
      <c r="C51" s="3" t="s">
        <v>112</v>
      </c>
      <c r="D51" s="4"/>
      <c r="E51" s="4"/>
      <c r="F51" s="4"/>
      <c r="G51" s="4"/>
    </row>
    <row r="52" spans="1:7" ht="15.75" x14ac:dyDescent="0.3">
      <c r="A52" s="5" t="s">
        <v>113</v>
      </c>
      <c r="B52" s="5" t="str">
        <f>REPLACE(A52,1,9,"7577xxx")</f>
        <v>7577xxx</v>
      </c>
      <c r="C52" s="3" t="s">
        <v>114</v>
      </c>
      <c r="D52" s="4"/>
      <c r="E52" s="4"/>
      <c r="F52" s="4"/>
      <c r="G52" s="4"/>
    </row>
    <row r="53" spans="1:7" ht="15.75" x14ac:dyDescent="0.3">
      <c r="A53" s="5" t="s">
        <v>115</v>
      </c>
      <c r="B53" s="5" t="str">
        <f>REPLACE(A53,1,9,"7578xxx")</f>
        <v>7578xxx</v>
      </c>
      <c r="C53" s="3" t="s">
        <v>116</v>
      </c>
      <c r="D53" s="4"/>
      <c r="E53" s="4"/>
      <c r="F53" s="4"/>
      <c r="G53" s="4"/>
    </row>
    <row r="54" spans="1:7" ht="15.75" x14ac:dyDescent="0.3">
      <c r="A54" s="5" t="s">
        <v>117</v>
      </c>
      <c r="B54" s="5" t="str">
        <f>REPLACE(A54,1,9,"7579xxx")</f>
        <v>7579xxx</v>
      </c>
      <c r="C54" s="3" t="s">
        <v>118</v>
      </c>
      <c r="D54" s="4"/>
      <c r="E54" s="4"/>
      <c r="F54" s="4"/>
      <c r="G54" s="4"/>
    </row>
    <row r="55" spans="1:7" ht="15.75" x14ac:dyDescent="0.3">
      <c r="A55" s="5" t="s">
        <v>119</v>
      </c>
      <c r="B55" s="5" t="str">
        <f>REPLACE(A55,1,9,"7580xxx")</f>
        <v>7580xxx</v>
      </c>
      <c r="C55" s="3" t="s">
        <v>120</v>
      </c>
      <c r="D55" s="4"/>
      <c r="E55" s="4"/>
      <c r="F55" s="4"/>
      <c r="G55" s="4"/>
    </row>
    <row r="56" spans="1:7" ht="15.75" x14ac:dyDescent="0.3">
      <c r="A56" s="5" t="s">
        <v>121</v>
      </c>
      <c r="B56" s="5" t="str">
        <f>REPLACE(A56,1,9,"7581xxx")</f>
        <v>7581xxx</v>
      </c>
      <c r="C56" s="3" t="s">
        <v>122</v>
      </c>
      <c r="D56" s="4"/>
      <c r="E56" s="4"/>
      <c r="F56" s="4"/>
      <c r="G56" s="4"/>
    </row>
    <row r="57" spans="1:7" ht="15.75" x14ac:dyDescent="0.3">
      <c r="A57" s="5" t="s">
        <v>123</v>
      </c>
      <c r="B57" s="5" t="str">
        <f>REPLACE(A57,1,9,"7582xxx")</f>
        <v>7582xxx</v>
      </c>
      <c r="C57" s="3" t="s">
        <v>124</v>
      </c>
      <c r="D57" s="4"/>
      <c r="E57" s="4"/>
      <c r="F57" s="4"/>
      <c r="G57" s="4"/>
    </row>
    <row r="58" spans="1:7" ht="15.75" x14ac:dyDescent="0.3">
      <c r="A58" s="5" t="s">
        <v>125</v>
      </c>
      <c r="B58" s="5" t="str">
        <f>REPLACE(A58,1,9,"7516xxx")</f>
        <v>7516xxx</v>
      </c>
      <c r="C58" s="3" t="s">
        <v>126</v>
      </c>
      <c r="D58" s="4"/>
      <c r="E58" s="4"/>
      <c r="F58" s="4"/>
      <c r="G58" s="4"/>
    </row>
    <row r="59" spans="1:7" ht="15.75" x14ac:dyDescent="0.3">
      <c r="A59" s="5" t="s">
        <v>127</v>
      </c>
      <c r="B59" s="5" t="str">
        <f>REPLACE(A59,1,9,"7920xxx")</f>
        <v>7920xxx</v>
      </c>
      <c r="C59" s="3" t="s">
        <v>128</v>
      </c>
      <c r="D59" s="4"/>
      <c r="E59" s="4"/>
      <c r="F59" s="4"/>
      <c r="G59" s="4"/>
    </row>
    <row r="60" spans="1:7" ht="15.75" x14ac:dyDescent="0.3">
      <c r="A60" s="5" t="s">
        <v>129</v>
      </c>
      <c r="B60" s="5" t="str">
        <f>REPLACE(A60,1,9,"7902xxx")</f>
        <v>7902xxx</v>
      </c>
      <c r="C60" s="3" t="s">
        <v>130</v>
      </c>
      <c r="D60" s="4"/>
      <c r="E60" s="4"/>
      <c r="F60" s="4"/>
      <c r="G60" s="4"/>
    </row>
    <row r="61" spans="1:7" ht="15.75" x14ac:dyDescent="0.3">
      <c r="A61" s="5" t="s">
        <v>131</v>
      </c>
      <c r="B61" s="5" t="str">
        <f>REPLACE(A61,1,9,"7903xxx")</f>
        <v>7903xxx</v>
      </c>
      <c r="C61" s="3" t="s">
        <v>132</v>
      </c>
      <c r="D61" s="4"/>
      <c r="E61" s="4"/>
      <c r="F61" s="4"/>
      <c r="G61" s="4"/>
    </row>
    <row r="62" spans="1:7" ht="15.75" x14ac:dyDescent="0.3">
      <c r="A62" s="5" t="s">
        <v>133</v>
      </c>
      <c r="B62" s="5" t="str">
        <f>REPLACE(A62,1,9,"7904xxx")</f>
        <v>7904xxx</v>
      </c>
      <c r="C62" s="3" t="s">
        <v>134</v>
      </c>
      <c r="D62" s="4"/>
      <c r="E62" s="4"/>
      <c r="F62" s="4"/>
      <c r="G62" s="4"/>
    </row>
    <row r="63" spans="1:7" ht="15.75" x14ac:dyDescent="0.3">
      <c r="A63" s="5" t="s">
        <v>135</v>
      </c>
      <c r="B63" s="5" t="str">
        <f>REPLACE(A63,1,9,"7910xxx")</f>
        <v>7910xxx</v>
      </c>
      <c r="C63" s="3" t="s">
        <v>136</v>
      </c>
      <c r="D63" s="4"/>
      <c r="E63" s="4"/>
      <c r="F63" s="4"/>
      <c r="G63" s="4"/>
    </row>
    <row r="64" spans="1:7" ht="15.75" x14ac:dyDescent="0.3">
      <c r="A64" s="5" t="s">
        <v>137</v>
      </c>
      <c r="B64" s="5" t="str">
        <f>REPLACE(A64,1,9,"7912xxx")</f>
        <v>7912xxx</v>
      </c>
      <c r="C64" s="3" t="s">
        <v>138</v>
      </c>
      <c r="D64" s="4"/>
      <c r="E64" s="4"/>
      <c r="F64" s="4"/>
      <c r="G64" s="4"/>
    </row>
    <row r="65" spans="1:7" ht="15.75" x14ac:dyDescent="0.3">
      <c r="A65" s="5" t="s">
        <v>139</v>
      </c>
      <c r="B65" s="5" t="str">
        <f>REPLACE(A65,1,9,"7913xxx")</f>
        <v>7913xxx</v>
      </c>
      <c r="C65" s="3" t="s">
        <v>140</v>
      </c>
      <c r="D65" s="4"/>
      <c r="E65" s="4"/>
      <c r="F65" s="4"/>
      <c r="G65" s="4"/>
    </row>
    <row r="66" spans="1:7" ht="15.75" x14ac:dyDescent="0.3">
      <c r="A66" s="5" t="s">
        <v>141</v>
      </c>
      <c r="B66" s="5" t="str">
        <f>REPLACE(A66,1,9,"7901xxx")</f>
        <v>7901xxx</v>
      </c>
      <c r="C66" s="3" t="s">
        <v>7</v>
      </c>
      <c r="D66" s="4"/>
      <c r="E66" s="4"/>
      <c r="F66" s="4"/>
      <c r="G66" s="4"/>
    </row>
    <row r="67" spans="1:7" ht="15.75" x14ac:dyDescent="0.3">
      <c r="A67" s="5" t="s">
        <v>142</v>
      </c>
      <c r="B67" s="5" t="str">
        <f>REPLACE(A67,1,9,"8002xxx")</f>
        <v>8002xxx</v>
      </c>
      <c r="C67" s="3" t="s">
        <v>143</v>
      </c>
      <c r="D67" s="4"/>
      <c r="E67" s="4"/>
      <c r="F67" s="4"/>
      <c r="G67" s="4"/>
    </row>
    <row r="68" spans="1:7" ht="15.75" x14ac:dyDescent="0.3">
      <c r="A68" s="5" t="s">
        <v>144</v>
      </c>
      <c r="B68" s="5" t="str">
        <f>REPLACE(A68,1,9,"8003xxx")</f>
        <v>8003xxx</v>
      </c>
      <c r="C68" s="3" t="s">
        <v>145</v>
      </c>
      <c r="D68" s="4"/>
      <c r="E68" s="4"/>
      <c r="F68" s="4"/>
      <c r="G68" s="4"/>
    </row>
    <row r="69" spans="1:7" ht="15.75" x14ac:dyDescent="0.3">
      <c r="A69" s="5" t="s">
        <v>146</v>
      </c>
      <c r="B69" s="5" t="str">
        <f>REPLACE(A69,1,9,"8004xxx")</f>
        <v>8004xxx</v>
      </c>
      <c r="C69" s="3" t="s">
        <v>147</v>
      </c>
      <c r="D69" s="4"/>
      <c r="E69" s="4"/>
      <c r="F69" s="4"/>
      <c r="G69" s="4"/>
    </row>
    <row r="70" spans="1:7" ht="15.75" x14ac:dyDescent="0.3">
      <c r="A70" s="5" t="s">
        <v>148</v>
      </c>
      <c r="B70" s="5" t="str">
        <f>REPLACE(A70,1,9,"8005xxx")</f>
        <v>8005xxx</v>
      </c>
      <c r="C70" s="3" t="s">
        <v>149</v>
      </c>
      <c r="D70" s="4"/>
      <c r="E70" s="4"/>
      <c r="F70" s="4"/>
      <c r="G70" s="4"/>
    </row>
    <row r="71" spans="1:7" ht="15.75" x14ac:dyDescent="0.3">
      <c r="A71" s="5" t="s">
        <v>150</v>
      </c>
      <c r="B71" s="5" t="str">
        <f>REPLACE(A71,1,9,"8030xxx")</f>
        <v>8030xxx</v>
      </c>
      <c r="C71" s="3" t="s">
        <v>151</v>
      </c>
      <c r="D71" s="4"/>
      <c r="E71" s="4"/>
      <c r="F71" s="4"/>
      <c r="G71" s="4"/>
    </row>
    <row r="72" spans="1:7" ht="15.75" x14ac:dyDescent="0.3">
      <c r="A72" s="5" t="s">
        <v>152</v>
      </c>
      <c r="B72" s="5" t="str">
        <f>REPLACE(A72,1,9,"8001xxx")</f>
        <v>8001xxx</v>
      </c>
      <c r="C72" s="3" t="s">
        <v>153</v>
      </c>
      <c r="D72" s="4"/>
      <c r="E72" s="4"/>
      <c r="F72" s="4"/>
      <c r="G72" s="4"/>
    </row>
    <row r="73" spans="1:7" ht="15.75" x14ac:dyDescent="0.3">
      <c r="A73" s="5" t="s">
        <v>154</v>
      </c>
      <c r="B73" s="5" t="str">
        <f>REPLACE(A73,1,9,"8010xxx")</f>
        <v>8010xxx</v>
      </c>
      <c r="C73" s="3" t="s">
        <v>155</v>
      </c>
      <c r="D73" s="4"/>
      <c r="E73" s="4"/>
      <c r="F73" s="4"/>
      <c r="G73" s="4"/>
    </row>
    <row r="74" spans="1:7" ht="15.75" x14ac:dyDescent="0.3">
      <c r="A74" s="5" t="s">
        <v>156</v>
      </c>
      <c r="B74" s="5" t="str">
        <f>REPLACE(A74,1,9,"8020xxx")</f>
        <v>8020xxx</v>
      </c>
      <c r="C74" s="3" t="s">
        <v>157</v>
      </c>
      <c r="D74" s="4"/>
      <c r="E74" s="4"/>
      <c r="F74" s="4"/>
      <c r="G74" s="4"/>
    </row>
    <row r="75" spans="1:7" ht="15.75" x14ac:dyDescent="0.3">
      <c r="A75" s="5" t="s">
        <v>158</v>
      </c>
      <c r="B75" t="str">
        <f>REPLACE(A75,1,9,"8201xxx")</f>
        <v>8201xxx</v>
      </c>
      <c r="C75" s="3" t="s">
        <v>159</v>
      </c>
      <c r="D75" s="4"/>
      <c r="E75" s="4"/>
      <c r="F75" s="4"/>
      <c r="G75" s="4"/>
    </row>
    <row r="76" spans="1:7" ht="15.75" x14ac:dyDescent="0.3">
      <c r="A76" s="5" t="s">
        <v>160</v>
      </c>
      <c r="B76" t="str">
        <f>REPLACE(A76,1,9,"8230xxx")</f>
        <v>8230xxx</v>
      </c>
      <c r="C76" s="3" t="s">
        <v>161</v>
      </c>
      <c r="D76" s="4"/>
      <c r="E76" s="4"/>
      <c r="F76" s="4"/>
      <c r="G76" s="4"/>
    </row>
    <row r="77" spans="1:7" ht="15.75" x14ac:dyDescent="0.3">
      <c r="A77" s="5" t="s">
        <v>162</v>
      </c>
      <c r="B77" t="str">
        <f>REPLACE(A77,1,9,"8231xxx")</f>
        <v>8231xxx</v>
      </c>
      <c r="C77" s="3" t="s">
        <v>163</v>
      </c>
      <c r="D77" s="4"/>
      <c r="E77" s="4"/>
      <c r="F77" s="4"/>
      <c r="G77" s="4"/>
    </row>
    <row r="78" spans="1:7" ht="15.75" x14ac:dyDescent="0.3">
      <c r="A78" s="5" t="s">
        <v>164</v>
      </c>
      <c r="B78" t="str">
        <f>REPLACE(A78,1,9,"8232xxx")</f>
        <v>8232xxx</v>
      </c>
      <c r="C78" s="3" t="s">
        <v>165</v>
      </c>
      <c r="D78" s="4"/>
      <c r="E78" s="4"/>
      <c r="F78" s="4"/>
      <c r="G78" s="4"/>
    </row>
    <row r="79" spans="1:7" ht="15.75" x14ac:dyDescent="0.3">
      <c r="A79" s="5" t="s">
        <v>166</v>
      </c>
      <c r="B79" t="str">
        <f>REPLACE(A79,1,9,"8233xxx")</f>
        <v>8233xxx</v>
      </c>
      <c r="C79" s="3" t="s">
        <v>167</v>
      </c>
      <c r="D79" s="4"/>
      <c r="E79" s="4"/>
      <c r="F79" s="4"/>
      <c r="G79" s="4"/>
    </row>
    <row r="80" spans="1:7" ht="15.75" x14ac:dyDescent="0.3">
      <c r="A80" s="5" t="s">
        <v>168</v>
      </c>
      <c r="B80" t="str">
        <f>REPLACE(A80,1,9,"8234xxx")</f>
        <v>8234xxx</v>
      </c>
      <c r="C80" s="3" t="s">
        <v>169</v>
      </c>
      <c r="D80" s="4"/>
      <c r="E80" s="4"/>
      <c r="F80" s="4"/>
      <c r="G80" s="4"/>
    </row>
    <row r="81" spans="1:7" ht="15.75" x14ac:dyDescent="0.3">
      <c r="A81" s="5" t="s">
        <v>170</v>
      </c>
      <c r="B81" t="str">
        <f>REPLACE(A81,1,9,"8210xxx")</f>
        <v>8210xxx</v>
      </c>
      <c r="C81" s="3" t="s">
        <v>171</v>
      </c>
      <c r="D81" s="4"/>
      <c r="E81" s="4"/>
      <c r="F81" s="4"/>
      <c r="G81" s="4"/>
    </row>
    <row r="82" spans="1:7" ht="15.75" x14ac:dyDescent="0.3">
      <c r="A82" s="5" t="s">
        <v>172</v>
      </c>
      <c r="B82" t="str">
        <f>REPLACE(A82,1,9,"8211xxx")</f>
        <v>8211xxx</v>
      </c>
      <c r="C82" s="3" t="s">
        <v>173</v>
      </c>
      <c r="D82" s="4"/>
      <c r="E82" s="4"/>
      <c r="F82" s="4"/>
      <c r="G82" s="4"/>
    </row>
    <row r="83" spans="1:7" ht="15.75" x14ac:dyDescent="0.3">
      <c r="A83" s="5" t="s">
        <v>174</v>
      </c>
      <c r="B83" t="str">
        <f>REPLACE(A83,1,9,"8212xxx")</f>
        <v>8212xxx</v>
      </c>
      <c r="C83" s="3" t="s">
        <v>175</v>
      </c>
      <c r="D83" s="4"/>
      <c r="E83" s="4"/>
      <c r="F83" s="4"/>
      <c r="G83" s="4"/>
    </row>
    <row r="84" spans="1:7" ht="15.75" x14ac:dyDescent="0.3">
      <c r="A84" s="5" t="s">
        <v>176</v>
      </c>
      <c r="B84" t="str">
        <f>REPLACE(A84,1,9,"8213xxx")</f>
        <v>8213xxx</v>
      </c>
      <c r="C84" s="3" t="s">
        <v>177</v>
      </c>
      <c r="D84" s="4"/>
      <c r="E84" s="4"/>
      <c r="F84" s="4"/>
      <c r="G84" s="4"/>
    </row>
    <row r="85" spans="1:7" ht="15.75" x14ac:dyDescent="0.3">
      <c r="A85" s="5" t="s">
        <v>178</v>
      </c>
      <c r="B85" t="str">
        <f>REPLACE(A85,1,9,"8214xxx")</f>
        <v>8214xxx</v>
      </c>
      <c r="C85" s="3" t="s">
        <v>179</v>
      </c>
      <c r="D85" s="4"/>
      <c r="E85" s="4"/>
      <c r="F85" s="4"/>
      <c r="G85" s="4"/>
    </row>
    <row r="86" spans="1:7" ht="15.75" x14ac:dyDescent="0.3">
      <c r="A86" s="5" t="s">
        <v>180</v>
      </c>
      <c r="B86" t="str">
        <f>REPLACE(A86,1,9,"8215xxx")</f>
        <v>8215xxx</v>
      </c>
      <c r="C86" s="3" t="s">
        <v>181</v>
      </c>
      <c r="D86" s="4"/>
      <c r="E86" s="4"/>
      <c r="F86" s="4"/>
      <c r="G86" s="4"/>
    </row>
    <row r="87" spans="1:7" ht="15.75" x14ac:dyDescent="0.3">
      <c r="A87" s="5" t="s">
        <v>182</v>
      </c>
      <c r="B87" s="5" t="s">
        <v>2298</v>
      </c>
      <c r="C87" s="3" t="s">
        <v>183</v>
      </c>
      <c r="D87" s="4"/>
      <c r="E87" s="4"/>
      <c r="F87" s="4"/>
      <c r="G87" s="4"/>
    </row>
    <row r="88" spans="1:7" ht="15.75" x14ac:dyDescent="0.3">
      <c r="A88" s="5" t="s">
        <v>184</v>
      </c>
      <c r="B88" s="5" t="s">
        <v>2299</v>
      </c>
      <c r="C88" s="3" t="s">
        <v>8</v>
      </c>
      <c r="D88" s="4"/>
      <c r="E88" s="4"/>
      <c r="F88" s="4"/>
      <c r="G88" s="4"/>
    </row>
    <row r="89" spans="1:7" ht="15.75" x14ac:dyDescent="0.3">
      <c r="A89" s="5" t="s">
        <v>185</v>
      </c>
      <c r="B89" s="5" t="s">
        <v>2300</v>
      </c>
      <c r="C89" s="3" t="s">
        <v>9</v>
      </c>
      <c r="D89" s="4"/>
      <c r="E89" s="4"/>
      <c r="F89" s="4"/>
      <c r="G89" s="4"/>
    </row>
    <row r="90" spans="1:7" ht="15.75" x14ac:dyDescent="0.3">
      <c r="A90" s="5" t="s">
        <v>186</v>
      </c>
      <c r="B90" s="5" t="s">
        <v>2301</v>
      </c>
      <c r="C90" s="3" t="s">
        <v>187</v>
      </c>
      <c r="D90" s="4"/>
      <c r="E90" s="4"/>
      <c r="F90" s="4"/>
      <c r="G90" s="4"/>
    </row>
    <row r="91" spans="1:7" ht="15.75" x14ac:dyDescent="0.3">
      <c r="A91" s="5" t="s">
        <v>188</v>
      </c>
      <c r="B91" s="5" t="s">
        <v>2302</v>
      </c>
      <c r="C91" s="3" t="s">
        <v>10</v>
      </c>
      <c r="D91" s="4"/>
      <c r="E91" s="4"/>
      <c r="F91" s="4"/>
      <c r="G91" s="4"/>
    </row>
    <row r="92" spans="1:7" ht="15.75" x14ac:dyDescent="0.3">
      <c r="A92" s="5" t="s">
        <v>189</v>
      </c>
      <c r="B92" s="5" t="s">
        <v>2303</v>
      </c>
      <c r="C92" s="3" t="s">
        <v>11</v>
      </c>
      <c r="D92" s="4"/>
      <c r="E92" s="4"/>
      <c r="F92" s="4"/>
      <c r="G92" s="4"/>
    </row>
    <row r="93" spans="1:7" ht="15.75" x14ac:dyDescent="0.3">
      <c r="A93" s="5" t="s">
        <v>190</v>
      </c>
      <c r="B93" s="5" t="s">
        <v>2304</v>
      </c>
      <c r="C93" s="3" t="s">
        <v>12</v>
      </c>
      <c r="D93" s="4"/>
      <c r="E93" s="4"/>
      <c r="F93" s="4"/>
      <c r="G93" s="4"/>
    </row>
    <row r="94" spans="1:7" ht="15.75" x14ac:dyDescent="0.3">
      <c r="A94" s="5" t="s">
        <v>191</v>
      </c>
      <c r="B94" s="5" t="s">
        <v>2305</v>
      </c>
      <c r="C94" s="3" t="s">
        <v>13</v>
      </c>
      <c r="D94" s="4"/>
      <c r="E94" s="4"/>
      <c r="F94" s="4"/>
      <c r="G94" s="4"/>
    </row>
    <row r="95" spans="1:7" ht="15.75" x14ac:dyDescent="0.3">
      <c r="A95" s="5" t="s">
        <v>192</v>
      </c>
      <c r="B95" s="5" t="s">
        <v>2306</v>
      </c>
      <c r="C95" s="3" t="s">
        <v>193</v>
      </c>
      <c r="D95" s="4"/>
      <c r="E95" s="4"/>
      <c r="F95" s="4"/>
      <c r="G95" s="4"/>
    </row>
    <row r="96" spans="1:7" ht="15.75" x14ac:dyDescent="0.3">
      <c r="A96" s="5" t="s">
        <v>194</v>
      </c>
      <c r="B96" s="5" t="s">
        <v>2307</v>
      </c>
      <c r="C96" s="3" t="s">
        <v>195</v>
      </c>
      <c r="D96" s="4"/>
      <c r="E96" s="4"/>
      <c r="F96" s="4"/>
      <c r="G96" s="4"/>
    </row>
    <row r="97" spans="1:7" ht="15.75" x14ac:dyDescent="0.3">
      <c r="A97" s="5" t="s">
        <v>196</v>
      </c>
      <c r="B97" s="5" t="str">
        <f>REPLACE(A97,1,9,"1402xxx")</f>
        <v>1402xxx</v>
      </c>
      <c r="C97" s="3" t="s">
        <v>197</v>
      </c>
      <c r="D97" s="4"/>
      <c r="E97" s="4"/>
      <c r="F97" s="4"/>
      <c r="G97" s="4"/>
    </row>
    <row r="98" spans="1:7" ht="15.75" x14ac:dyDescent="0.3">
      <c r="A98" s="5" t="s">
        <v>198</v>
      </c>
      <c r="B98" s="5" t="str">
        <f>REPLACE(A98,1,9,"1403xxx")</f>
        <v>1403xxx</v>
      </c>
      <c r="C98" s="3" t="s">
        <v>199</v>
      </c>
      <c r="D98" s="4"/>
      <c r="E98" s="4"/>
      <c r="F98" s="4"/>
      <c r="G98" s="4"/>
    </row>
    <row r="99" spans="1:7" ht="15.75" x14ac:dyDescent="0.3">
      <c r="A99" s="5" t="s">
        <v>200</v>
      </c>
      <c r="B99" s="5" t="str">
        <f>REPLACE(A99,1,9,"1404xxx")</f>
        <v>1404xxx</v>
      </c>
      <c r="C99" s="3" t="s">
        <v>201</v>
      </c>
      <c r="D99" s="4"/>
      <c r="E99" s="4"/>
      <c r="F99" s="4"/>
      <c r="G99" s="4"/>
    </row>
    <row r="100" spans="1:7" ht="15.75" x14ac:dyDescent="0.3">
      <c r="A100" s="5" t="s">
        <v>202</v>
      </c>
      <c r="B100" s="5" t="str">
        <f>REPLACE(A100,1,9,"1410xxx")</f>
        <v>1410xxx</v>
      </c>
      <c r="C100" s="3" t="s">
        <v>203</v>
      </c>
      <c r="D100" s="4"/>
      <c r="E100" s="4"/>
      <c r="F100" s="4"/>
      <c r="G100" s="4"/>
    </row>
    <row r="101" spans="1:7" ht="15.75" x14ac:dyDescent="0.3">
      <c r="A101" s="5" t="s">
        <v>204</v>
      </c>
      <c r="B101" s="5" t="str">
        <f>REPLACE(A101,1,9,"1411xxx")</f>
        <v>1411xxx</v>
      </c>
      <c r="C101" s="3" t="s">
        <v>205</v>
      </c>
      <c r="D101" s="4"/>
      <c r="E101" s="4"/>
      <c r="F101" s="4"/>
      <c r="G101" s="4"/>
    </row>
    <row r="102" spans="1:7" ht="15.75" x14ac:dyDescent="0.3">
      <c r="A102" s="5" t="s">
        <v>206</v>
      </c>
      <c r="B102" s="5" t="str">
        <f>REPLACE(A102,1,9,"1412xxx")</f>
        <v>1412xxx</v>
      </c>
      <c r="C102" s="3" t="s">
        <v>207</v>
      </c>
      <c r="D102" s="4"/>
      <c r="E102" s="4"/>
      <c r="F102" s="4"/>
      <c r="G102" s="4"/>
    </row>
    <row r="103" spans="1:7" ht="15.75" x14ac:dyDescent="0.3">
      <c r="A103" s="5" t="s">
        <v>208</v>
      </c>
      <c r="B103" s="5" t="str">
        <f>REPLACE(A103,1,9,"1414xxx")</f>
        <v>1414xxx</v>
      </c>
      <c r="C103" s="3" t="s">
        <v>209</v>
      </c>
      <c r="D103" s="4"/>
      <c r="E103" s="4"/>
      <c r="F103" s="4"/>
      <c r="G103" s="4"/>
    </row>
    <row r="104" spans="1:7" ht="15.75" x14ac:dyDescent="0.3">
      <c r="A104" s="5" t="s">
        <v>210</v>
      </c>
      <c r="B104" s="5" t="str">
        <f>REPLACE(A104,1,9,"1416xxx")</f>
        <v>1416xxx</v>
      </c>
      <c r="C104" s="3" t="s">
        <v>211</v>
      </c>
      <c r="D104" s="4"/>
      <c r="E104" s="4"/>
      <c r="F104" s="4"/>
      <c r="G104" s="4"/>
    </row>
    <row r="105" spans="1:7" ht="15.75" x14ac:dyDescent="0.3">
      <c r="A105" s="5" t="s">
        <v>212</v>
      </c>
      <c r="B105" s="5" t="str">
        <f>REPLACE(A105,1,9,"1418xxx")</f>
        <v>1418xxx</v>
      </c>
      <c r="C105" s="3" t="s">
        <v>213</v>
      </c>
      <c r="D105" s="4"/>
      <c r="E105" s="4"/>
      <c r="F105" s="4"/>
      <c r="G105" s="4"/>
    </row>
    <row r="106" spans="1:7" ht="15.75" x14ac:dyDescent="0.3">
      <c r="A106" s="5" t="s">
        <v>214</v>
      </c>
      <c r="B106" s="5" t="str">
        <f>REPLACE(A106,1,9,"1620xxx")</f>
        <v>1620xxx</v>
      </c>
      <c r="C106" s="3" t="s">
        <v>215</v>
      </c>
      <c r="D106" s="4"/>
      <c r="E106" s="4"/>
      <c r="F106" s="4"/>
      <c r="G106" s="4"/>
    </row>
    <row r="107" spans="1:7" ht="15.75" x14ac:dyDescent="0.3">
      <c r="A107" s="5" t="s">
        <v>216</v>
      </c>
      <c r="B107" s="5" t="str">
        <f>REPLACE(A107,1,9,"1621xxx")</f>
        <v>1621xxx</v>
      </c>
      <c r="C107" s="3" t="s">
        <v>217</v>
      </c>
      <c r="D107" s="4"/>
      <c r="E107" s="4"/>
      <c r="F107" s="4"/>
      <c r="G107" s="4"/>
    </row>
    <row r="108" spans="1:7" ht="15.75" x14ac:dyDescent="0.3">
      <c r="A108" s="5" t="s">
        <v>218</v>
      </c>
      <c r="B108" s="5" t="str">
        <f>REPLACE(A108,1,9,"1622xxx")</f>
        <v>1622xxx</v>
      </c>
      <c r="C108" s="3" t="s">
        <v>219</v>
      </c>
      <c r="D108" s="4"/>
      <c r="E108" s="4"/>
      <c r="F108" s="4"/>
      <c r="G108" s="4"/>
    </row>
    <row r="109" spans="1:7" ht="15.75" x14ac:dyDescent="0.3">
      <c r="A109" s="5" t="s">
        <v>220</v>
      </c>
      <c r="B109" s="5" t="str">
        <f>REPLACE(A109,1,9,"1625xxx")</f>
        <v>1625xxx</v>
      </c>
      <c r="C109" s="3" t="s">
        <v>221</v>
      </c>
      <c r="D109" s="4"/>
      <c r="E109" s="4"/>
      <c r="F109" s="4"/>
      <c r="G109" s="4"/>
    </row>
    <row r="110" spans="1:7" ht="15.75" x14ac:dyDescent="0.3">
      <c r="A110" s="5" t="s">
        <v>222</v>
      </c>
      <c r="B110" s="5" t="str">
        <f>REPLACE(A110,1,9,"1627xxx")</f>
        <v>1627xxx</v>
      </c>
      <c r="C110" s="3" t="s">
        <v>223</v>
      </c>
      <c r="D110" s="4"/>
      <c r="E110" s="4"/>
      <c r="F110" s="4"/>
      <c r="G110" s="4"/>
    </row>
    <row r="111" spans="1:7" ht="15.75" x14ac:dyDescent="0.3">
      <c r="A111" s="5" t="s">
        <v>224</v>
      </c>
      <c r="B111" s="5" t="str">
        <f>REPLACE(A111,1,9,"1628xxx")</f>
        <v>1628xxx</v>
      </c>
      <c r="C111" s="3" t="s">
        <v>225</v>
      </c>
      <c r="D111" s="4"/>
      <c r="E111" s="4"/>
      <c r="F111" s="4"/>
      <c r="G111" s="4"/>
    </row>
    <row r="112" spans="1:7" ht="15.75" x14ac:dyDescent="0.3">
      <c r="A112" s="5" t="s">
        <v>226</v>
      </c>
      <c r="B112" s="5" t="str">
        <f>REPLACE(A112,1,9,"1630xxx")</f>
        <v>1630xxx</v>
      </c>
      <c r="C112" s="3" t="s">
        <v>227</v>
      </c>
      <c r="D112" s="4"/>
      <c r="E112" s="4"/>
      <c r="F112" s="4"/>
      <c r="G112" s="4"/>
    </row>
    <row r="113" spans="1:7" ht="15.75" x14ac:dyDescent="0.3">
      <c r="A113" s="5" t="s">
        <v>228</v>
      </c>
      <c r="B113" s="5" t="str">
        <f>REPLACE(A113,1,9,"1601xxx")</f>
        <v>1601xxx</v>
      </c>
      <c r="C113" s="3" t="s">
        <v>14</v>
      </c>
      <c r="D113" s="4"/>
      <c r="E113" s="4"/>
      <c r="F113" s="4"/>
      <c r="G113" s="4"/>
    </row>
    <row r="114" spans="1:7" ht="15.75" x14ac:dyDescent="0.3">
      <c r="A114" s="5" t="s">
        <v>229</v>
      </c>
      <c r="B114" s="5" t="str">
        <f>REPLACE(A114,1,9,"1606xxx")</f>
        <v>1606xxx</v>
      </c>
      <c r="C114" s="3" t="s">
        <v>15</v>
      </c>
      <c r="D114" s="4"/>
      <c r="E114" s="4"/>
      <c r="F114" s="4"/>
      <c r="G114" s="4"/>
    </row>
    <row r="115" spans="1:7" ht="15.75" x14ac:dyDescent="0.3">
      <c r="A115" s="5" t="s">
        <v>230</v>
      </c>
      <c r="B115" s="5" t="str">
        <f>REPLACE(A115,1,9,"1610xxx")</f>
        <v>1610xxx</v>
      </c>
      <c r="C115" s="3" t="s">
        <v>231</v>
      </c>
      <c r="D115" s="4"/>
      <c r="E115" s="4"/>
      <c r="F115" s="4"/>
      <c r="G115" s="4"/>
    </row>
    <row r="116" spans="1:7" ht="15.75" x14ac:dyDescent="0.3">
      <c r="A116" s="5" t="s">
        <v>232</v>
      </c>
      <c r="B116" s="5" t="str">
        <f>REPLACE(A116,1,9,"1611xxx")</f>
        <v>1611xxx</v>
      </c>
      <c r="C116" s="3" t="s">
        <v>233</v>
      </c>
      <c r="D116" s="4"/>
      <c r="E116" s="4"/>
      <c r="F116" s="4"/>
      <c r="G116" s="4"/>
    </row>
    <row r="117" spans="1:7" ht="15.75" x14ac:dyDescent="0.3">
      <c r="A117" s="5" t="s">
        <v>234</v>
      </c>
      <c r="B117" s="5" t="str">
        <f>REPLACE(A117,1,9,"1612xxx")</f>
        <v>1612xxx</v>
      </c>
      <c r="C117" s="3" t="s">
        <v>235</v>
      </c>
      <c r="D117" s="4"/>
      <c r="E117" s="4"/>
      <c r="F117" s="4"/>
      <c r="G117" s="4"/>
    </row>
    <row r="118" spans="1:7" ht="15.75" x14ac:dyDescent="0.3">
      <c r="A118" s="5" t="s">
        <v>236</v>
      </c>
      <c r="B118" s="5" t="str">
        <f>REPLACE(A118,1,9,"1613xxx")</f>
        <v>1613xxx</v>
      </c>
      <c r="C118" s="3" t="s">
        <v>237</v>
      </c>
      <c r="D118" s="4"/>
      <c r="E118" s="4"/>
      <c r="F118" s="4"/>
      <c r="G118" s="4"/>
    </row>
    <row r="119" spans="1:7" ht="15.75" x14ac:dyDescent="0.3">
      <c r="A119" s="5" t="s">
        <v>238</v>
      </c>
      <c r="B119" s="5" t="str">
        <f>REPLACE(A119,1,9,"1614xxx")</f>
        <v>1614xxx</v>
      </c>
      <c r="C119" s="3" t="s">
        <v>239</v>
      </c>
      <c r="D119" s="4"/>
      <c r="E119" s="4"/>
      <c r="F119" s="4"/>
      <c r="G119" s="4"/>
    </row>
    <row r="120" spans="1:7" ht="15.75" x14ac:dyDescent="0.3">
      <c r="A120" s="5" t="s">
        <v>240</v>
      </c>
      <c r="B120" s="5" t="str">
        <f>REPLACE(A120,1,9,"1615xxx")</f>
        <v>1615xxx</v>
      </c>
      <c r="C120" s="3" t="s">
        <v>241</v>
      </c>
      <c r="D120" s="4"/>
      <c r="E120" s="4"/>
      <c r="F120" s="4"/>
      <c r="G120" s="4"/>
    </row>
    <row r="121" spans="1:7" ht="15.75" x14ac:dyDescent="0.3">
      <c r="A121" s="5" t="s">
        <v>242</v>
      </c>
      <c r="B121" s="5" t="str">
        <f>REPLACE(A121,1,9,"1635xxx")</f>
        <v>1635xxx</v>
      </c>
      <c r="C121" s="3" t="s">
        <v>243</v>
      </c>
      <c r="D121" s="4"/>
      <c r="E121" s="4"/>
      <c r="F121" s="4"/>
      <c r="G121" s="4"/>
    </row>
    <row r="122" spans="1:7" ht="15.75" x14ac:dyDescent="0.3">
      <c r="A122" s="5" t="s">
        <v>244</v>
      </c>
      <c r="B122" s="5" t="str">
        <f>REPLACE(A122,1,9,"1636xxx")</f>
        <v>1636xxx</v>
      </c>
      <c r="C122" s="3" t="s">
        <v>245</v>
      </c>
      <c r="D122" s="4"/>
      <c r="E122" s="4"/>
      <c r="F122" s="4"/>
      <c r="G122" s="4"/>
    </row>
    <row r="123" spans="1:7" ht="15.75" x14ac:dyDescent="0.3">
      <c r="A123" s="5" t="s">
        <v>246</v>
      </c>
      <c r="B123" s="5" t="str">
        <f>REPLACE(A123,1,9,"1640xxx")</f>
        <v>1640xxx</v>
      </c>
      <c r="C123" s="3" t="s">
        <v>247</v>
      </c>
      <c r="D123" s="4"/>
      <c r="E123" s="4"/>
      <c r="F123" s="4"/>
      <c r="G123" s="4"/>
    </row>
    <row r="124" spans="1:7" ht="15.75" x14ac:dyDescent="0.3">
      <c r="A124" s="5" t="s">
        <v>248</v>
      </c>
      <c r="B124" s="5" t="str">
        <f>REPLACE(A124,1,9,"1602xxx")</f>
        <v>1602xxx</v>
      </c>
      <c r="C124" s="3" t="s">
        <v>16</v>
      </c>
      <c r="D124" s="4"/>
      <c r="E124" s="4"/>
      <c r="F124" s="4"/>
      <c r="G124" s="4"/>
    </row>
    <row r="125" spans="1:7" ht="15.75" x14ac:dyDescent="0.3">
      <c r="A125" s="5" t="s">
        <v>249</v>
      </c>
      <c r="B125" s="5" t="str">
        <f>REPLACE(A125,1,9,"1802xxx")</f>
        <v>1802xxx</v>
      </c>
      <c r="C125" s="3" t="s">
        <v>250</v>
      </c>
      <c r="D125" s="4"/>
      <c r="E125" s="4"/>
      <c r="F125" s="4"/>
      <c r="G125" s="4"/>
    </row>
    <row r="126" spans="1:7" ht="15.75" x14ac:dyDescent="0.3">
      <c r="A126" s="5" t="s">
        <v>251</v>
      </c>
      <c r="B126" s="5" t="str">
        <f>REPLACE(A126,1,9,"1803xxx")</f>
        <v>1803xxx</v>
      </c>
      <c r="C126" s="3" t="s">
        <v>252</v>
      </c>
      <c r="D126" s="4"/>
      <c r="E126" s="4"/>
      <c r="F126" s="4"/>
      <c r="G126" s="4"/>
    </row>
    <row r="127" spans="1:7" ht="15.75" x14ac:dyDescent="0.3">
      <c r="A127" s="5" t="s">
        <v>253</v>
      </c>
      <c r="B127" s="5" t="str">
        <f>REPLACE(A127,1,9,"1804xxx")</f>
        <v>1804xxx</v>
      </c>
      <c r="C127" s="3" t="s">
        <v>254</v>
      </c>
      <c r="D127" s="4"/>
      <c r="E127" s="4"/>
      <c r="F127" s="4"/>
      <c r="G127" s="4"/>
    </row>
    <row r="128" spans="1:7" ht="15.75" x14ac:dyDescent="0.3">
      <c r="A128" s="5" t="s">
        <v>255</v>
      </c>
      <c r="B128" s="5" t="str">
        <f>REPLACE(A128,1,9,"1805xxx")</f>
        <v>1805xxx</v>
      </c>
      <c r="C128" s="3" t="s">
        <v>256</v>
      </c>
      <c r="D128" s="4"/>
      <c r="E128" s="4"/>
      <c r="F128" s="4"/>
      <c r="G128" s="4"/>
    </row>
    <row r="129" spans="1:7" ht="15.75" x14ac:dyDescent="0.3">
      <c r="A129" s="5" t="s">
        <v>257</v>
      </c>
      <c r="B129" s="5" t="str">
        <f>REPLACE(A129,1,9,"1810xxx")</f>
        <v>1810xxx</v>
      </c>
      <c r="C129" s="3" t="s">
        <v>258</v>
      </c>
      <c r="D129" s="4"/>
      <c r="E129" s="4"/>
      <c r="F129" s="4"/>
      <c r="G129" s="4"/>
    </row>
    <row r="130" spans="1:7" ht="15.75" x14ac:dyDescent="0.3">
      <c r="A130" s="5" t="s">
        <v>259</v>
      </c>
      <c r="B130" s="5" t="str">
        <f>REPLACE(A130,1,9,"1801xxx")</f>
        <v>1801xxx</v>
      </c>
      <c r="C130" s="3" t="s">
        <v>17</v>
      </c>
      <c r="D130" s="4"/>
      <c r="E130" s="4"/>
      <c r="F130" s="4"/>
      <c r="G130" s="4"/>
    </row>
    <row r="131" spans="1:7" ht="15.75" x14ac:dyDescent="0.3">
      <c r="A131" s="5" t="s">
        <v>260</v>
      </c>
      <c r="B131" s="5" t="str">
        <f>REPLACE(A131,1,9,"1812xxx")</f>
        <v>1812xxx</v>
      </c>
      <c r="C131" s="3" t="s">
        <v>261</v>
      </c>
      <c r="D131" s="4"/>
      <c r="E131" s="4"/>
      <c r="F131" s="4"/>
      <c r="G131" s="4"/>
    </row>
    <row r="132" spans="1:7" ht="15.75" x14ac:dyDescent="0.3">
      <c r="A132" s="5" t="s">
        <v>262</v>
      </c>
      <c r="B132" s="5" t="str">
        <f>REPLACE(A132,1,9,"1814xxx")</f>
        <v>1814xxx</v>
      </c>
      <c r="C132" s="3" t="s">
        <v>263</v>
      </c>
      <c r="D132" s="4"/>
      <c r="E132" s="4"/>
      <c r="F132" s="4"/>
      <c r="G132" s="4"/>
    </row>
    <row r="133" spans="1:7" ht="15.75" x14ac:dyDescent="0.3">
      <c r="A133" s="5" t="s">
        <v>264</v>
      </c>
      <c r="B133" s="5" t="str">
        <f>REPLACE(A133,1,9,"1816xxx")</f>
        <v>1816xxx</v>
      </c>
      <c r="C133" s="3" t="s">
        <v>265</v>
      </c>
      <c r="D133" s="4"/>
      <c r="E133" s="4"/>
      <c r="F133" s="4"/>
      <c r="G133" s="4"/>
    </row>
    <row r="134" spans="1:7" ht="15.75" x14ac:dyDescent="0.3">
      <c r="A134" s="5" t="s">
        <v>266</v>
      </c>
      <c r="B134" s="5" t="str">
        <f>REPLACE(A135,1,9,"2580xxx")</f>
        <v>2580xxx</v>
      </c>
      <c r="C134" s="3" t="s">
        <v>267</v>
      </c>
      <c r="D134" s="4"/>
      <c r="E134" s="4"/>
      <c r="F134" s="4"/>
      <c r="G134" s="4"/>
    </row>
    <row r="135" spans="1:7" ht="15.75" x14ac:dyDescent="0.3">
      <c r="A135" s="5" t="s">
        <v>268</v>
      </c>
      <c r="B135" s="5" t="str">
        <f>REPLACE(A136,1,9,"2581xxx")</f>
        <v>2581xxx</v>
      </c>
      <c r="C135" s="3" t="s">
        <v>269</v>
      </c>
      <c r="D135" s="4"/>
      <c r="E135" s="4"/>
      <c r="F135" s="4"/>
      <c r="G135" s="4"/>
    </row>
    <row r="136" spans="1:7" ht="15.75" x14ac:dyDescent="0.3">
      <c r="A136" s="5" t="s">
        <v>270</v>
      </c>
      <c r="B136" s="5" t="str">
        <f>REPLACE(A137,1,9,"2582xxx")</f>
        <v>2582xxx</v>
      </c>
      <c r="C136" s="3" t="s">
        <v>271</v>
      </c>
      <c r="D136" s="4"/>
      <c r="E136" s="4"/>
      <c r="F136" s="4"/>
      <c r="G136" s="4"/>
    </row>
    <row r="137" spans="1:7" ht="15.75" x14ac:dyDescent="0.3">
      <c r="A137" s="5" t="s">
        <v>272</v>
      </c>
      <c r="B137" s="5" t="str">
        <f>REPLACE(A138,1,9,"2510xxx")</f>
        <v>2510xxx</v>
      </c>
      <c r="C137" s="3" t="s">
        <v>273</v>
      </c>
      <c r="D137" s="4"/>
      <c r="E137" s="4"/>
      <c r="F137" s="4"/>
      <c r="G137" s="4"/>
    </row>
    <row r="138" spans="1:7" ht="15.75" x14ac:dyDescent="0.3">
      <c r="A138" s="5" t="s">
        <v>274</v>
      </c>
      <c r="B138" s="5" t="str">
        <f>REPLACE(A139,1,9,"2514xxx")</f>
        <v>2514xxx</v>
      </c>
      <c r="C138" s="3" t="s">
        <v>275</v>
      </c>
      <c r="D138" s="4"/>
      <c r="E138" s="4"/>
      <c r="F138" s="4"/>
      <c r="G138" s="4"/>
    </row>
    <row r="139" spans="1:7" ht="15.75" x14ac:dyDescent="0.3">
      <c r="A139" s="5" t="s">
        <v>276</v>
      </c>
      <c r="B139" s="5" t="str">
        <f>REPLACE(A140,1,9,"2516xxx")</f>
        <v>2516xxx</v>
      </c>
      <c r="C139" s="3" t="s">
        <v>277</v>
      </c>
      <c r="D139" s="4"/>
      <c r="E139" s="4"/>
      <c r="F139" s="4"/>
      <c r="G139" s="4"/>
    </row>
    <row r="140" spans="1:7" ht="15.75" x14ac:dyDescent="0.3">
      <c r="A140" s="5" t="s">
        <v>278</v>
      </c>
      <c r="B140" s="5" t="str">
        <f>REPLACE(A141,1,9,"2550xxx")</f>
        <v>2550xxx</v>
      </c>
      <c r="C140" s="3" t="s">
        <v>279</v>
      </c>
      <c r="D140" s="4"/>
      <c r="E140" s="4"/>
      <c r="F140" s="4"/>
      <c r="G140" s="4"/>
    </row>
    <row r="141" spans="1:7" ht="15.75" x14ac:dyDescent="0.3">
      <c r="A141" s="5" t="s">
        <v>280</v>
      </c>
      <c r="B141" s="5" t="str">
        <f>REPLACE(A142,1,9,"2554xxx")</f>
        <v>2554xxx</v>
      </c>
      <c r="C141" s="3" t="s">
        <v>281</v>
      </c>
      <c r="D141" s="4"/>
      <c r="E141" s="4"/>
      <c r="F141" s="4"/>
      <c r="G141" s="4"/>
    </row>
    <row r="142" spans="1:7" ht="15.75" x14ac:dyDescent="0.3">
      <c r="A142" s="5" t="s">
        <v>282</v>
      </c>
      <c r="B142" s="5" t="str">
        <f>REPLACE(A143,1,9,"2560xxx")</f>
        <v>2560xxx</v>
      </c>
      <c r="C142" s="3" t="s">
        <v>283</v>
      </c>
      <c r="D142" s="4"/>
      <c r="E142" s="4"/>
      <c r="F142" s="4"/>
      <c r="G142" s="4"/>
    </row>
    <row r="143" spans="1:7" ht="15.75" x14ac:dyDescent="0.3">
      <c r="A143" s="5" t="s">
        <v>284</v>
      </c>
      <c r="B143" s="5" t="str">
        <f>REPLACE(A144,1,9,"2564xxx")</f>
        <v>2564xxx</v>
      </c>
      <c r="C143" s="3" t="s">
        <v>285</v>
      </c>
      <c r="D143" s="4"/>
      <c r="E143" s="4"/>
      <c r="F143" s="4"/>
      <c r="G143" s="4"/>
    </row>
    <row r="144" spans="1:7" ht="15.75" x14ac:dyDescent="0.3">
      <c r="A144" s="5" t="s">
        <v>286</v>
      </c>
      <c r="B144" s="5" t="str">
        <f>REPLACE(A145,1,9,"2501xxx")</f>
        <v>2501xxx</v>
      </c>
      <c r="C144" s="3" t="s">
        <v>18</v>
      </c>
      <c r="D144" s="4"/>
      <c r="E144" s="4"/>
      <c r="F144" s="4"/>
      <c r="G144" s="4"/>
    </row>
    <row r="145" spans="1:7" ht="15.75" x14ac:dyDescent="0.3">
      <c r="A145" s="5" t="s">
        <v>287</v>
      </c>
      <c r="B145" s="5" t="str">
        <f>REPLACE(A145,1,9,"0102xxx")</f>
        <v>0102xxx</v>
      </c>
      <c r="C145" s="3" t="s">
        <v>288</v>
      </c>
      <c r="D145" s="4"/>
      <c r="E145" s="4"/>
      <c r="F145" s="4"/>
      <c r="G145" s="4"/>
    </row>
    <row r="146" spans="1:7" ht="15.75" x14ac:dyDescent="0.3">
      <c r="A146" s="5" t="s">
        <v>289</v>
      </c>
      <c r="B146" s="5" t="str">
        <f>REPLACE(A146,1,9,"0103xxx")</f>
        <v>0103xxx</v>
      </c>
      <c r="C146" s="3" t="s">
        <v>290</v>
      </c>
      <c r="D146" s="4"/>
      <c r="E146" s="4"/>
      <c r="F146" s="4"/>
      <c r="G146" s="4"/>
    </row>
    <row r="147" spans="1:7" ht="15.75" x14ac:dyDescent="0.3">
      <c r="A147" s="5" t="s">
        <v>291</v>
      </c>
      <c r="B147" s="5" t="str">
        <f>REPLACE(A147,1,9,"0104xxx")</f>
        <v>0104xxx</v>
      </c>
      <c r="C147" s="3" t="s">
        <v>292</v>
      </c>
      <c r="D147" s="4"/>
      <c r="E147" s="4"/>
      <c r="F147" s="4"/>
      <c r="G147" s="4"/>
    </row>
    <row r="148" spans="1:7" ht="15.75" x14ac:dyDescent="0.3">
      <c r="A148" s="5" t="s">
        <v>293</v>
      </c>
      <c r="B148" s="5" t="str">
        <f>REPLACE(A148,1,9,"0105xxx")</f>
        <v>0105xxx</v>
      </c>
      <c r="C148" s="3" t="s">
        <v>294</v>
      </c>
      <c r="D148" s="4"/>
      <c r="E148" s="4"/>
      <c r="F148" s="4"/>
      <c r="G148" s="4"/>
    </row>
    <row r="149" spans="1:7" ht="15.75" x14ac:dyDescent="0.3">
      <c r="A149" s="5" t="s">
        <v>295</v>
      </c>
      <c r="B149" s="5" t="str">
        <f>REPLACE(A149,1,9,"0106xxx")</f>
        <v>0106xxx</v>
      </c>
      <c r="C149" s="3" t="s">
        <v>296</v>
      </c>
      <c r="D149" s="4"/>
      <c r="E149" s="4"/>
      <c r="F149" s="4"/>
      <c r="G149" s="4"/>
    </row>
    <row r="150" spans="1:7" ht="15.75" x14ac:dyDescent="0.3">
      <c r="A150" s="5" t="s">
        <v>297</v>
      </c>
      <c r="B150" s="5" t="str">
        <f>REPLACE(A150,1,9,"0107xxx")</f>
        <v>0107xxx</v>
      </c>
      <c r="C150" s="3" t="s">
        <v>298</v>
      </c>
      <c r="D150" s="4"/>
      <c r="E150" s="4"/>
      <c r="F150" s="4"/>
      <c r="G150" s="4"/>
    </row>
    <row r="151" spans="1:7" ht="15.75" x14ac:dyDescent="0.3">
      <c r="A151" s="5" t="s">
        <v>299</v>
      </c>
      <c r="B151" s="5" t="str">
        <f>REPLACE(A151,1,9,"0108xxx")</f>
        <v>0108xxx</v>
      </c>
      <c r="C151" s="3" t="s">
        <v>300</v>
      </c>
      <c r="D151" s="4"/>
      <c r="E151" s="4"/>
      <c r="F151" s="4"/>
      <c r="G151" s="4"/>
    </row>
    <row r="152" spans="1:7" ht="15.75" x14ac:dyDescent="0.3">
      <c r="A152" s="5" t="s">
        <v>301</v>
      </c>
      <c r="B152" s="5" t="str">
        <f>REPLACE(A152,1,9,"0109xxx")</f>
        <v>0109xxx</v>
      </c>
      <c r="C152" s="3" t="s">
        <v>302</v>
      </c>
      <c r="D152" s="4"/>
      <c r="E152" s="4"/>
      <c r="F152" s="4"/>
      <c r="G152" s="4"/>
    </row>
    <row r="153" spans="1:7" ht="15.75" x14ac:dyDescent="0.3">
      <c r="A153" s="5" t="s">
        <v>303</v>
      </c>
      <c r="B153" s="5" t="str">
        <f>REPLACE(A153,1,9,"0110xxx")</f>
        <v>0110xxx</v>
      </c>
      <c r="C153" s="3" t="s">
        <v>304</v>
      </c>
      <c r="D153" s="4"/>
      <c r="E153" s="4"/>
      <c r="F153" s="4"/>
      <c r="G153" s="4"/>
    </row>
    <row r="154" spans="1:7" ht="15.75" x14ac:dyDescent="0.3">
      <c r="A154" s="5" t="s">
        <v>305</v>
      </c>
      <c r="B154" s="5" t="str">
        <f>REPLACE(A154,1,9,"0112xxx")</f>
        <v>0112xxx</v>
      </c>
      <c r="C154" s="3" t="s">
        <v>306</v>
      </c>
      <c r="D154" s="4"/>
      <c r="E154" s="4"/>
      <c r="F154" s="4"/>
      <c r="G154" s="4"/>
    </row>
    <row r="155" spans="1:7" ht="15.75" x14ac:dyDescent="0.3">
      <c r="A155" s="5" t="s">
        <v>307</v>
      </c>
      <c r="B155" s="5" t="str">
        <f>REPLACE(A155,1,9,"0114xxx")</f>
        <v>0114xxx</v>
      </c>
      <c r="C155" s="3" t="s">
        <v>308</v>
      </c>
      <c r="D155" s="4"/>
      <c r="E155" s="4"/>
      <c r="F155" s="4"/>
      <c r="G155" s="4"/>
    </row>
    <row r="156" spans="1:7" ht="15.75" x14ac:dyDescent="0.3">
      <c r="A156" s="5" t="s">
        <v>309</v>
      </c>
      <c r="B156" s="5" t="str">
        <f>REPLACE(A156,1,9,"0502xxx")</f>
        <v>0502xxx</v>
      </c>
      <c r="C156" s="3" t="s">
        <v>310</v>
      </c>
      <c r="D156" s="4"/>
      <c r="E156" s="4"/>
      <c r="F156" s="4"/>
      <c r="G156" s="4"/>
    </row>
    <row r="157" spans="1:7" ht="15.75" x14ac:dyDescent="0.3">
      <c r="A157" s="5" t="s">
        <v>311</v>
      </c>
      <c r="B157" s="5" t="str">
        <f>REPLACE(A157,1,9,"0510xxx")</f>
        <v>0510xxx</v>
      </c>
      <c r="C157" s="3" t="s">
        <v>312</v>
      </c>
      <c r="D157" s="4"/>
      <c r="E157" s="4"/>
      <c r="F157" s="4"/>
      <c r="G157" s="4"/>
    </row>
    <row r="158" spans="1:7" ht="15.75" x14ac:dyDescent="0.3">
      <c r="A158" s="5" t="s">
        <v>313</v>
      </c>
      <c r="B158" s="5" t="str">
        <f>REPLACE(A158,1,9,"0501xxx")</f>
        <v>0501xxx</v>
      </c>
      <c r="C158" s="3" t="s">
        <v>19</v>
      </c>
      <c r="D158" s="4"/>
      <c r="E158" s="4"/>
      <c r="F158" s="4"/>
      <c r="G158" s="4"/>
    </row>
    <row r="159" spans="1:7" ht="15.75" x14ac:dyDescent="0.3">
      <c r="A159" s="5" t="s">
        <v>314</v>
      </c>
      <c r="B159" s="5" t="str">
        <f>REPLACE(A159,1,9,"0503xxx")</f>
        <v>0503xxx</v>
      </c>
      <c r="C159" s="3" t="s">
        <v>20</v>
      </c>
      <c r="D159" s="4"/>
      <c r="E159" s="4"/>
      <c r="F159" s="4"/>
      <c r="G159" s="4"/>
    </row>
    <row r="160" spans="1:7" ht="15.75" x14ac:dyDescent="0.3">
      <c r="A160" s="5" t="s">
        <v>315</v>
      </c>
      <c r="B160" s="5" t="str">
        <f>REPLACE(A160,1,9,"0511xxx")</f>
        <v>0511xxx</v>
      </c>
      <c r="C160" s="3" t="s">
        <v>21</v>
      </c>
      <c r="D160" s="4"/>
      <c r="E160" s="4"/>
      <c r="F160" s="4"/>
      <c r="G160" s="4"/>
    </row>
    <row r="161" spans="1:7" ht="15.75" x14ac:dyDescent="0.3">
      <c r="A161" s="5" t="s">
        <v>316</v>
      </c>
      <c r="B161" s="5" t="str">
        <f>REPLACE(A161,1,9,"0701xxx")</f>
        <v>0701xxx</v>
      </c>
      <c r="C161" s="3" t="s">
        <v>317</v>
      </c>
      <c r="D161" s="4"/>
      <c r="E161" s="4"/>
      <c r="F161" s="4"/>
      <c r="G161" s="4"/>
    </row>
    <row r="162" spans="1:7" ht="15.75" x14ac:dyDescent="0.3">
      <c r="A162" s="5" t="s">
        <v>318</v>
      </c>
      <c r="B162" s="5" t="str">
        <f>REPLACE(A162,1,9,"0702xxx")</f>
        <v>0702xxx</v>
      </c>
      <c r="C162" s="3" t="s">
        <v>319</v>
      </c>
      <c r="D162" s="4"/>
      <c r="E162" s="4"/>
      <c r="F162" s="4"/>
      <c r="G162" s="4"/>
    </row>
    <row r="163" spans="1:7" ht="15.75" x14ac:dyDescent="0.3">
      <c r="A163" s="5" t="s">
        <v>320</v>
      </c>
      <c r="B163" s="5" t="str">
        <f>REPLACE(A163,1,9,"0703xxx")</f>
        <v>0703xxx</v>
      </c>
      <c r="C163" s="3" t="s">
        <v>319</v>
      </c>
      <c r="D163" s="4"/>
      <c r="E163" s="4"/>
      <c r="F163" s="4"/>
      <c r="G163" s="4"/>
    </row>
    <row r="164" spans="1:7" ht="15.75" x14ac:dyDescent="0.3">
      <c r="A164" s="5" t="s">
        <v>321</v>
      </c>
      <c r="B164" s="5" t="str">
        <f>REPLACE(A164,1,9,"0704xxx")</f>
        <v>0704xxx</v>
      </c>
      <c r="C164" s="3" t="s">
        <v>319</v>
      </c>
      <c r="D164" s="4"/>
      <c r="E164" s="4"/>
      <c r="F164" s="4"/>
      <c r="G164" s="4"/>
    </row>
    <row r="165" spans="1:7" ht="15.75" x14ac:dyDescent="0.3">
      <c r="A165" s="5" t="s">
        <v>322</v>
      </c>
      <c r="B165" s="5" t="str">
        <f>REPLACE(A165,1,9,"0705xxx")</f>
        <v>0705xxx</v>
      </c>
      <c r="C165" s="3" t="s">
        <v>319</v>
      </c>
      <c r="D165" s="4"/>
      <c r="E165" s="4"/>
      <c r="F165" s="4"/>
      <c r="G165" s="4"/>
    </row>
    <row r="166" spans="1:7" ht="15.75" x14ac:dyDescent="0.3">
      <c r="A166" s="5" t="s">
        <v>323</v>
      </c>
      <c r="B166" s="5" t="str">
        <f>REPLACE(A166,1,9,"0706xxx")</f>
        <v>0706xxx</v>
      </c>
      <c r="C166" s="3" t="s">
        <v>319</v>
      </c>
      <c r="D166" s="4"/>
      <c r="E166" s="4"/>
      <c r="F166" s="4"/>
      <c r="G166" s="4"/>
    </row>
    <row r="167" spans="1:7" ht="15.75" x14ac:dyDescent="0.3">
      <c r="A167" s="5" t="s">
        <v>324</v>
      </c>
      <c r="B167" s="5" t="str">
        <f>REPLACE(A167,1,9,"0902xxx")</f>
        <v>0902xxx</v>
      </c>
      <c r="C167" s="3" t="s">
        <v>325</v>
      </c>
      <c r="D167" s="4"/>
      <c r="E167" s="4"/>
      <c r="F167" s="4"/>
      <c r="G167" s="4"/>
    </row>
    <row r="168" spans="1:7" ht="15.75" x14ac:dyDescent="0.3">
      <c r="A168" s="5" t="s">
        <v>326</v>
      </c>
      <c r="B168" s="5" t="str">
        <f>REPLACE(A168,1,9,"0910xxx")</f>
        <v>0910xxx</v>
      </c>
      <c r="C168" s="3" t="s">
        <v>327</v>
      </c>
      <c r="D168" s="4"/>
      <c r="E168" s="4"/>
      <c r="F168" s="4"/>
      <c r="G168" s="4"/>
    </row>
    <row r="169" spans="1:7" ht="15.75" x14ac:dyDescent="0.3">
      <c r="A169" s="5" t="s">
        <v>328</v>
      </c>
      <c r="B169" s="5" t="str">
        <f>REPLACE(A169,1,9,"0911xxx")</f>
        <v>0911xxx</v>
      </c>
      <c r="C169" s="3" t="s">
        <v>329</v>
      </c>
      <c r="D169" s="4"/>
      <c r="E169" s="4"/>
      <c r="F169" s="4"/>
      <c r="G169" s="4"/>
    </row>
    <row r="170" spans="1:7" ht="15.75" x14ac:dyDescent="0.3">
      <c r="A170" s="5" t="s">
        <v>330</v>
      </c>
      <c r="B170" s="5" t="str">
        <f>REPLACE(A170,1,9,"0912xxx")</f>
        <v>0912xxx</v>
      </c>
      <c r="C170" s="3" t="s">
        <v>331</v>
      </c>
      <c r="D170" s="4"/>
      <c r="E170" s="4"/>
      <c r="F170" s="4"/>
      <c r="G170" s="4"/>
    </row>
    <row r="171" spans="1:7" ht="15.75" x14ac:dyDescent="0.3">
      <c r="A171" s="5" t="s">
        <v>332</v>
      </c>
      <c r="B171" s="5" t="str">
        <f>REPLACE(A171,1,9,"0913xxx")</f>
        <v>0913xxx</v>
      </c>
      <c r="C171" s="3" t="s">
        <v>333</v>
      </c>
      <c r="D171" s="4"/>
      <c r="E171" s="4"/>
      <c r="F171" s="4"/>
      <c r="G171" s="4"/>
    </row>
    <row r="172" spans="1:7" ht="15.75" x14ac:dyDescent="0.3">
      <c r="A172" s="5" t="s">
        <v>334</v>
      </c>
      <c r="B172" s="5" t="str">
        <f>REPLACE(A172,1,9,"0914xxx")</f>
        <v>0914xxx</v>
      </c>
      <c r="C172" s="3" t="s">
        <v>335</v>
      </c>
      <c r="D172" s="4"/>
      <c r="E172" s="4"/>
      <c r="F172" s="4"/>
      <c r="G172" s="4"/>
    </row>
    <row r="173" spans="1:7" ht="15.75" x14ac:dyDescent="0.3">
      <c r="A173" s="5" t="s">
        <v>336</v>
      </c>
      <c r="B173" s="5" t="str">
        <f>REPLACE(A173,1,9,"0915xxx")</f>
        <v>0915xxx</v>
      </c>
      <c r="C173" s="3" t="s">
        <v>337</v>
      </c>
      <c r="D173" s="4"/>
      <c r="E173" s="4"/>
      <c r="F173" s="4"/>
      <c r="G173" s="4"/>
    </row>
    <row r="174" spans="1:7" ht="15.75" x14ac:dyDescent="0.3">
      <c r="A174" s="5" t="s">
        <v>338</v>
      </c>
      <c r="B174" s="5" t="str">
        <f>REPLACE(A174,1,9,"0916xxx")</f>
        <v>0916xxx</v>
      </c>
      <c r="C174" s="3" t="s">
        <v>339</v>
      </c>
      <c r="D174" s="4"/>
      <c r="E174" s="4"/>
      <c r="F174" s="4"/>
      <c r="G174" s="4"/>
    </row>
    <row r="175" spans="1:7" ht="15.75" x14ac:dyDescent="0.3">
      <c r="A175" s="5" t="s">
        <v>340</v>
      </c>
      <c r="B175" s="5" t="str">
        <f>REPLACE(A175,1,9,"0917xxx")</f>
        <v>0917xxx</v>
      </c>
      <c r="C175" s="3" t="s">
        <v>341</v>
      </c>
      <c r="D175" s="4"/>
      <c r="E175" s="4"/>
      <c r="F175" s="4"/>
      <c r="G175" s="4"/>
    </row>
    <row r="176" spans="1:7" ht="15.75" x14ac:dyDescent="0.3">
      <c r="A176" s="5" t="s">
        <v>342</v>
      </c>
      <c r="B176" s="5" t="str">
        <f>REPLACE(A176,1,9,"0918xxx")</f>
        <v>0918xxx</v>
      </c>
      <c r="C176" s="3" t="s">
        <v>343</v>
      </c>
      <c r="D176" s="4"/>
      <c r="E176" s="4"/>
      <c r="F176" s="4"/>
      <c r="G176" s="4"/>
    </row>
    <row r="177" spans="1:7" ht="15.75" x14ac:dyDescent="0.3">
      <c r="A177" s="5" t="s">
        <v>344</v>
      </c>
      <c r="B177" s="5" t="str">
        <f>REPLACE(A177,1,9,"2001xxx")</f>
        <v>2001xxx</v>
      </c>
      <c r="C177" s="3" t="s">
        <v>345</v>
      </c>
      <c r="D177" s="4"/>
      <c r="E177" s="4"/>
      <c r="F177" s="4"/>
      <c r="G177" s="4"/>
    </row>
    <row r="178" spans="1:7" ht="15.75" x14ac:dyDescent="0.3">
      <c r="A178" s="5" t="s">
        <v>346</v>
      </c>
      <c r="B178" s="5" t="str">
        <f>REPLACE(A178,1,9,"2002xxx")</f>
        <v>2002xxx</v>
      </c>
      <c r="C178" s="3" t="s">
        <v>347</v>
      </c>
      <c r="D178" s="4"/>
      <c r="E178" s="4"/>
      <c r="F178" s="4"/>
      <c r="G178" s="4"/>
    </row>
    <row r="179" spans="1:7" ht="15.75" x14ac:dyDescent="0.3">
      <c r="A179" s="5" t="s">
        <v>348</v>
      </c>
      <c r="B179" s="5" t="str">
        <f>REPLACE(A179,1,9,"2003xxx")</f>
        <v>2003xxx</v>
      </c>
      <c r="C179" s="3" t="s">
        <v>349</v>
      </c>
      <c r="D179" s="4"/>
      <c r="E179" s="4"/>
      <c r="F179" s="4"/>
      <c r="G179" s="4"/>
    </row>
    <row r="180" spans="1:7" ht="15.75" x14ac:dyDescent="0.3">
      <c r="A180" s="5" t="s">
        <v>350</v>
      </c>
      <c r="B180" s="5" t="str">
        <f>REPLACE(A180,1,9,"2004xxx")</f>
        <v>2004xxx</v>
      </c>
      <c r="C180" s="3" t="s">
        <v>351</v>
      </c>
      <c r="D180" s="4"/>
      <c r="E180" s="4"/>
      <c r="F180" s="4"/>
      <c r="G180" s="4"/>
    </row>
    <row r="181" spans="1:7" ht="15.75" x14ac:dyDescent="0.3">
      <c r="A181" s="5" t="s">
        <v>352</v>
      </c>
      <c r="B181" s="5" t="str">
        <f>REPLACE(A181,1,9,"2005xxx")</f>
        <v>2005xxx</v>
      </c>
      <c r="C181" s="3" t="s">
        <v>353</v>
      </c>
      <c r="D181" s="4"/>
      <c r="E181" s="4"/>
      <c r="F181" s="4"/>
      <c r="G181" s="4"/>
    </row>
    <row r="182" spans="1:7" ht="15.75" x14ac:dyDescent="0.3">
      <c r="A182" s="5" t="s">
        <v>354</v>
      </c>
      <c r="B182" s="5" t="str">
        <f>REPLACE(A182,1,9,"2010xxx")</f>
        <v>2010xxx</v>
      </c>
      <c r="C182" s="3" t="s">
        <v>355</v>
      </c>
      <c r="D182" s="4"/>
      <c r="E182" s="4"/>
      <c r="F182" s="4"/>
      <c r="G182" s="4"/>
    </row>
    <row r="183" spans="1:7" ht="15.75" x14ac:dyDescent="0.3">
      <c r="A183" s="5" t="s">
        <v>356</v>
      </c>
      <c r="B183" s="5" t="str">
        <f>REPLACE(A183,1,9,"2060xxx")</f>
        <v>2060xxx</v>
      </c>
      <c r="C183" s="3" t="s">
        <v>357</v>
      </c>
      <c r="D183" s="4"/>
      <c r="E183" s="4"/>
      <c r="F183" s="4"/>
      <c r="G183" s="4"/>
    </row>
    <row r="184" spans="1:7" ht="15.75" x14ac:dyDescent="0.3">
      <c r="A184" s="5" t="s">
        <v>358</v>
      </c>
      <c r="B184" s="5" t="str">
        <f>REPLACE(A184,1,9,"2062xxx")</f>
        <v>2062xxx</v>
      </c>
      <c r="C184" s="3" t="s">
        <v>359</v>
      </c>
      <c r="D184" s="4"/>
      <c r="E184" s="4"/>
      <c r="F184" s="4"/>
      <c r="G184" s="4"/>
    </row>
    <row r="185" spans="1:7" ht="15.75" x14ac:dyDescent="0.3">
      <c r="A185" s="5" t="s">
        <v>360</v>
      </c>
      <c r="B185" s="5" t="str">
        <f>REPLACE(A185,1,9,"2064xxx")</f>
        <v>2064xxx</v>
      </c>
      <c r="C185" s="3" t="s">
        <v>361</v>
      </c>
      <c r="D185" s="4"/>
      <c r="E185" s="4"/>
      <c r="F185" s="4"/>
      <c r="G185" s="4"/>
    </row>
    <row r="186" spans="1:7" ht="15.75" x14ac:dyDescent="0.3">
      <c r="A186" s="5" t="s">
        <v>362</v>
      </c>
      <c r="B186" s="5" t="str">
        <f>REPLACE(A186,1,9,"2068xxx")</f>
        <v>2068xxx</v>
      </c>
      <c r="C186" s="3" t="s">
        <v>363</v>
      </c>
      <c r="D186" s="4"/>
      <c r="E186" s="4"/>
      <c r="F186" s="4"/>
      <c r="G186" s="4"/>
    </row>
    <row r="187" spans="1:7" ht="15.75" x14ac:dyDescent="0.3">
      <c r="A187" s="5" t="s">
        <v>364</v>
      </c>
      <c r="B187" s="5" t="str">
        <f>REPLACE(A187,1,9,"2070xxx")</f>
        <v>2070xxx</v>
      </c>
      <c r="C187" s="3" t="s">
        <v>365</v>
      </c>
      <c r="D187" s="4"/>
      <c r="E187" s="4"/>
      <c r="F187" s="4"/>
      <c r="G187" s="4"/>
    </row>
    <row r="188" spans="1:7" ht="15.75" x14ac:dyDescent="0.3">
      <c r="A188" s="5" t="s">
        <v>366</v>
      </c>
      <c r="B188" s="5" t="str">
        <f>REPLACE(A188,1,9,"2072xxx")</f>
        <v>2072xxx</v>
      </c>
      <c r="C188" s="3" t="s">
        <v>367</v>
      </c>
      <c r="D188" s="4"/>
      <c r="E188" s="4"/>
      <c r="F188" s="4"/>
      <c r="G188" s="4"/>
    </row>
    <row r="189" spans="1:7" ht="15.75" x14ac:dyDescent="0.3">
      <c r="A189" s="5" t="s">
        <v>368</v>
      </c>
      <c r="B189" s="5" t="str">
        <f>REPLACE(A189,1,9,"2202xxx")</f>
        <v>2202xxx</v>
      </c>
      <c r="C189" s="3" t="s">
        <v>369</v>
      </c>
      <c r="D189" s="4"/>
      <c r="E189" s="4"/>
      <c r="F189" s="4"/>
      <c r="G189" s="4"/>
    </row>
    <row r="190" spans="1:7" ht="15.75" x14ac:dyDescent="0.3">
      <c r="A190" s="5" t="s">
        <v>370</v>
      </c>
      <c r="B190" s="5" t="str">
        <f>REPLACE(A190,1,9,"2203xxx")</f>
        <v>2203xxx</v>
      </c>
      <c r="C190" s="3" t="s">
        <v>371</v>
      </c>
      <c r="D190" s="4"/>
      <c r="E190" s="4"/>
      <c r="F190" s="4"/>
      <c r="G190" s="4"/>
    </row>
    <row r="191" spans="1:7" ht="15.75" x14ac:dyDescent="0.3">
      <c r="A191" s="5" t="s">
        <v>372</v>
      </c>
      <c r="B191" s="5" t="str">
        <f>REPLACE(A191,1,9,"2205xxx")</f>
        <v>2205xxx</v>
      </c>
      <c r="C191" s="3" t="s">
        <v>373</v>
      </c>
      <c r="D191" s="4"/>
      <c r="E191" s="4"/>
      <c r="F191" s="4"/>
      <c r="G191" s="4"/>
    </row>
    <row r="192" spans="1:7" ht="15.75" x14ac:dyDescent="0.3">
      <c r="A192" s="5" t="s">
        <v>374</v>
      </c>
      <c r="B192" s="5" t="str">
        <f>REPLACE(A192,1,9,"22026xx")</f>
        <v>22026xx</v>
      </c>
      <c r="C192" s="3" t="s">
        <v>375</v>
      </c>
      <c r="D192" s="4"/>
      <c r="E192" s="4"/>
      <c r="F192" s="4"/>
      <c r="G192" s="4"/>
    </row>
    <row r="193" spans="1:7" ht="15.75" x14ac:dyDescent="0.3">
      <c r="A193" s="5" t="s">
        <v>376</v>
      </c>
      <c r="B193" s="5" t="str">
        <f>REPLACE(A193,1,9,"2207xxx")</f>
        <v>2207xxx</v>
      </c>
      <c r="C193" s="3" t="s">
        <v>377</v>
      </c>
      <c r="D193" s="4"/>
      <c r="E193" s="4"/>
      <c r="F193" s="4"/>
      <c r="G193" s="4"/>
    </row>
    <row r="194" spans="1:7" ht="15.75" x14ac:dyDescent="0.3">
      <c r="A194" s="5" t="s">
        <v>378</v>
      </c>
      <c r="B194" s="5" t="str">
        <f>REPLACE(A194,1,9,"2209xxx")</f>
        <v>2209xxx</v>
      </c>
      <c r="C194" s="3" t="s">
        <v>379</v>
      </c>
      <c r="D194" s="4"/>
      <c r="E194" s="4"/>
      <c r="F194" s="4"/>
      <c r="G194" s="4"/>
    </row>
    <row r="195" spans="1:7" ht="15.75" x14ac:dyDescent="0.3">
      <c r="A195" s="5" t="s">
        <v>380</v>
      </c>
      <c r="B195" s="5" t="str">
        <f>REPLACE(A195,1,9,"4001xxx")</f>
        <v>4001xxx</v>
      </c>
      <c r="C195" s="3" t="s">
        <v>381</v>
      </c>
      <c r="D195" s="4"/>
      <c r="E195" s="4"/>
      <c r="F195" s="4"/>
      <c r="G195" s="4"/>
    </row>
    <row r="196" spans="1:7" ht="15.75" x14ac:dyDescent="0.3">
      <c r="A196" s="5" t="s">
        <v>382</v>
      </c>
      <c r="B196" s="5" t="str">
        <f>REPLACE(A196,1,9,"4020xxx")</f>
        <v>4020xxx</v>
      </c>
      <c r="C196" s="3" t="s">
        <v>383</v>
      </c>
      <c r="D196" s="4"/>
      <c r="E196" s="4"/>
      <c r="F196" s="4"/>
      <c r="G196" s="4"/>
    </row>
    <row r="197" spans="1:7" ht="15.75" x14ac:dyDescent="0.3">
      <c r="A197" s="5" t="s">
        <v>384</v>
      </c>
      <c r="B197" s="5" t="str">
        <f>REPLACE(A197,1,9,"4021xxx")</f>
        <v>4021xxx</v>
      </c>
      <c r="C197" s="3" t="s">
        <v>385</v>
      </c>
      <c r="D197" s="4"/>
      <c r="E197" s="4"/>
      <c r="F197" s="4"/>
      <c r="G197" s="4"/>
    </row>
    <row r="198" spans="1:7" ht="15.75" x14ac:dyDescent="0.3">
      <c r="A198" s="5" t="s">
        <v>386</v>
      </c>
      <c r="B198" s="5" t="str">
        <f>REPLACE(A198,1,9,"4022xxx")</f>
        <v>4022xxx</v>
      </c>
      <c r="C198" s="3" t="s">
        <v>387</v>
      </c>
      <c r="D198" s="4"/>
      <c r="E198" s="4"/>
      <c r="F198" s="4"/>
      <c r="G198" s="4"/>
    </row>
    <row r="199" spans="1:7" ht="15.75" x14ac:dyDescent="0.3">
      <c r="A199" s="5" t="s">
        <v>388</v>
      </c>
      <c r="B199" s="5" t="str">
        <f>REPLACE(A199,1,9,"4023xxx")</f>
        <v>4023xxx</v>
      </c>
      <c r="C199" s="3" t="s">
        <v>389</v>
      </c>
      <c r="D199" s="4"/>
      <c r="E199" s="4"/>
      <c r="F199" s="4"/>
      <c r="G199" s="4"/>
    </row>
    <row r="200" spans="1:7" ht="15.75" x14ac:dyDescent="0.3">
      <c r="A200" s="5" t="s">
        <v>390</v>
      </c>
      <c r="B200" s="5" t="str">
        <f>REPLACE(A200,1,9,"4024xxx")</f>
        <v>4024xxx</v>
      </c>
      <c r="C200" s="3" t="s">
        <v>391</v>
      </c>
      <c r="D200" s="4"/>
      <c r="E200" s="4"/>
      <c r="F200" s="4"/>
      <c r="G200" s="4"/>
    </row>
    <row r="201" spans="1:7" ht="15.75" x14ac:dyDescent="0.3">
      <c r="A201" s="5" t="s">
        <v>392</v>
      </c>
      <c r="B201" s="5" t="str">
        <f>REPLACE(A201,1,9,"4025xxx")</f>
        <v>4025xxx</v>
      </c>
      <c r="C201" s="3" t="s">
        <v>393</v>
      </c>
      <c r="D201" s="4"/>
      <c r="E201" s="4"/>
      <c r="F201" s="4"/>
      <c r="G201" s="4"/>
    </row>
    <row r="202" spans="1:7" ht="15.75" x14ac:dyDescent="0.3">
      <c r="A202" s="5" t="s">
        <v>394</v>
      </c>
      <c r="B202" s="5" t="str">
        <f>REPLACE(A202,1,9,"4026xxx")</f>
        <v>4026xxx</v>
      </c>
      <c r="C202" s="3" t="s">
        <v>395</v>
      </c>
      <c r="D202" s="4"/>
      <c r="E202" s="4"/>
      <c r="F202" s="4"/>
      <c r="G202" s="4"/>
    </row>
    <row r="203" spans="1:7" ht="15.75" x14ac:dyDescent="0.3">
      <c r="A203" s="5" t="s">
        <v>396</v>
      </c>
      <c r="B203" s="5" t="str">
        <f>REPLACE(A203,1,9,"4027xxx")</f>
        <v>4027xxx</v>
      </c>
      <c r="C203" s="3" t="s">
        <v>397</v>
      </c>
      <c r="D203" s="4"/>
      <c r="E203" s="4"/>
      <c r="F203" s="4"/>
      <c r="G203" s="4"/>
    </row>
    <row r="204" spans="1:7" ht="15.75" x14ac:dyDescent="0.3">
      <c r="A204" s="5" t="s">
        <v>398</v>
      </c>
      <c r="B204" s="5" t="str">
        <f>REPLACE(A204,1,9,"4028xxx")</f>
        <v>4028xxx</v>
      </c>
      <c r="C204" s="3" t="s">
        <v>399</v>
      </c>
      <c r="D204" s="4"/>
      <c r="E204" s="4"/>
      <c r="F204" s="4"/>
      <c r="G204" s="4"/>
    </row>
    <row r="205" spans="1:7" ht="15.75" x14ac:dyDescent="0.3">
      <c r="A205" s="5" t="s">
        <v>400</v>
      </c>
      <c r="B205" s="5" t="str">
        <f>REPLACE(A205,1,9,"4029xxx")</f>
        <v>4029xxx</v>
      </c>
      <c r="C205" s="3" t="s">
        <v>401</v>
      </c>
      <c r="D205" s="4"/>
      <c r="E205" s="4"/>
      <c r="F205" s="4"/>
      <c r="G205" s="4"/>
    </row>
    <row r="206" spans="1:7" ht="15.75" x14ac:dyDescent="0.3">
      <c r="A206" s="5" t="s">
        <v>402</v>
      </c>
      <c r="B206" s="5" t="str">
        <f>REPLACE(A206,1,9,"4030xxx")</f>
        <v>4030xxx</v>
      </c>
      <c r="C206" s="3" t="s">
        <v>403</v>
      </c>
      <c r="D206" s="4"/>
      <c r="E206" s="4"/>
      <c r="F206" s="4"/>
      <c r="G206" s="4"/>
    </row>
    <row r="207" spans="1:7" ht="15.75" x14ac:dyDescent="0.3">
      <c r="A207" s="5" t="s">
        <v>404</v>
      </c>
      <c r="B207" s="5" t="str">
        <f>REPLACE(A207,1,9,"4031xxx")</f>
        <v>4031xxx</v>
      </c>
      <c r="C207" s="3" t="s">
        <v>405</v>
      </c>
      <c r="D207" s="4"/>
      <c r="E207" s="4"/>
      <c r="F207" s="4"/>
      <c r="G207" s="4"/>
    </row>
    <row r="208" spans="1:7" ht="15.75" x14ac:dyDescent="0.3">
      <c r="A208" s="5" t="s">
        <v>406</v>
      </c>
      <c r="B208" s="5" t="str">
        <f>REPLACE(A208,1,9,"4032xxx")</f>
        <v>4032xxx</v>
      </c>
      <c r="C208" s="3" t="s">
        <v>407</v>
      </c>
      <c r="D208" s="4"/>
      <c r="E208" s="4"/>
      <c r="F208" s="4"/>
      <c r="G208" s="4"/>
    </row>
    <row r="209" spans="1:7" ht="15.75" x14ac:dyDescent="0.3">
      <c r="A209" s="5" t="s">
        <v>408</v>
      </c>
      <c r="B209" s="5" t="str">
        <f>REPLACE(A209,1,9,"4040xxx")</f>
        <v>4040xxx</v>
      </c>
      <c r="C209" s="3" t="s">
        <v>409</v>
      </c>
      <c r="D209" s="4"/>
      <c r="E209" s="4"/>
      <c r="F209" s="4"/>
      <c r="G209" s="4"/>
    </row>
    <row r="210" spans="1:7" ht="15.75" x14ac:dyDescent="0.3">
      <c r="A210" s="5" t="s">
        <v>410</v>
      </c>
      <c r="B210" s="5" t="str">
        <f>REPLACE(A210,1,9,"4041xxx")</f>
        <v>4041xxx</v>
      </c>
      <c r="C210" s="3" t="s">
        <v>411</v>
      </c>
      <c r="D210" s="4"/>
      <c r="E210" s="4"/>
      <c r="F210" s="4"/>
      <c r="G210" s="4"/>
    </row>
    <row r="211" spans="1:7" ht="15.75" x14ac:dyDescent="0.3">
      <c r="A211" s="5" t="s">
        <v>412</v>
      </c>
      <c r="B211" s="5" t="str">
        <f>REPLACE(A211,1,9,"4042xxx")</f>
        <v>4042xxx</v>
      </c>
      <c r="C211" s="3" t="s">
        <v>413</v>
      </c>
      <c r="D211" s="4"/>
      <c r="E211" s="4"/>
      <c r="F211" s="4"/>
      <c r="G211" s="4"/>
    </row>
    <row r="212" spans="1:7" ht="15.75" x14ac:dyDescent="0.3">
      <c r="A212" s="5" t="s">
        <v>414</v>
      </c>
      <c r="B212" s="5" t="str">
        <f>REPLACE(A212,1,9,"4043xxx")</f>
        <v>4043xxx</v>
      </c>
      <c r="C212" s="3" t="s">
        <v>415</v>
      </c>
      <c r="D212" s="4"/>
      <c r="E212" s="4"/>
      <c r="F212" s="4"/>
      <c r="G212" s="4"/>
    </row>
    <row r="213" spans="1:7" ht="15.75" x14ac:dyDescent="0.3">
      <c r="A213" s="5" t="s">
        <v>416</v>
      </c>
      <c r="B213" s="5" t="str">
        <f>REPLACE(A213,1,9,"4044xxx")</f>
        <v>4044xxx</v>
      </c>
      <c r="C213" s="3" t="s">
        <v>417</v>
      </c>
      <c r="D213" s="4"/>
      <c r="E213" s="4"/>
      <c r="F213" s="4"/>
      <c r="G213" s="4"/>
    </row>
    <row r="214" spans="1:7" ht="15.75" x14ac:dyDescent="0.3">
      <c r="A214" s="5" t="s">
        <v>418</v>
      </c>
      <c r="B214" s="5" t="str">
        <f>REPLACE(A214,1,9,"4045xxx")</f>
        <v>4045xxx</v>
      </c>
      <c r="C214" s="3" t="s">
        <v>419</v>
      </c>
      <c r="D214" s="4"/>
      <c r="E214" s="4"/>
      <c r="F214" s="4"/>
      <c r="G214" s="4"/>
    </row>
    <row r="215" spans="1:7" ht="15.75" x14ac:dyDescent="0.3">
      <c r="A215" s="5" t="s">
        <v>420</v>
      </c>
      <c r="B215" s="5" t="str">
        <f>REPLACE(A215,1,9,"4046xxx")</f>
        <v>4046xxx</v>
      </c>
      <c r="C215" s="3" t="s">
        <v>421</v>
      </c>
      <c r="D215" s="4"/>
      <c r="E215" s="4"/>
      <c r="F215" s="4"/>
      <c r="G215" s="4"/>
    </row>
    <row r="216" spans="1:7" ht="15.75" x14ac:dyDescent="0.3">
      <c r="A216" s="5" t="s">
        <v>422</v>
      </c>
      <c r="B216" s="5" t="str">
        <f>REPLACE(A216,1,9,"4047xxx")</f>
        <v>4047xxx</v>
      </c>
      <c r="C216" s="3" t="s">
        <v>423</v>
      </c>
      <c r="D216" s="4"/>
      <c r="E216" s="4"/>
      <c r="F216" s="4"/>
      <c r="G216" s="4"/>
    </row>
    <row r="217" spans="1:7" ht="15.75" x14ac:dyDescent="0.3">
      <c r="A217" s="5" t="s">
        <v>424</v>
      </c>
      <c r="B217" s="5" t="str">
        <f>REPLACE(A217,1,9,"4048xxx")</f>
        <v>4048xxx</v>
      </c>
      <c r="C217" s="3" t="s">
        <v>425</v>
      </c>
      <c r="D217" s="4"/>
      <c r="E217" s="4"/>
      <c r="F217" s="4"/>
      <c r="G217" s="4"/>
    </row>
    <row r="218" spans="1:7" ht="15.75" x14ac:dyDescent="0.3">
      <c r="A218" s="5" t="s">
        <v>426</v>
      </c>
      <c r="B218" s="5" t="str">
        <f>REPLACE(A218,1,9,"4010xxx")</f>
        <v>4010xxx</v>
      </c>
      <c r="C218" s="3" t="s">
        <v>427</v>
      </c>
      <c r="D218" s="4"/>
      <c r="E218" s="4"/>
      <c r="F218" s="4"/>
      <c r="G218" s="4"/>
    </row>
    <row r="219" spans="1:7" ht="15.75" x14ac:dyDescent="0.3">
      <c r="A219" s="5" t="s">
        <v>428</v>
      </c>
      <c r="B219" s="5" t="str">
        <f>REPLACE(A219,1,9,"4011xxx")</f>
        <v>4011xxx</v>
      </c>
      <c r="C219" s="3" t="s">
        <v>429</v>
      </c>
      <c r="D219" s="4"/>
      <c r="E219" s="4"/>
      <c r="F219" s="4"/>
      <c r="G219" s="4"/>
    </row>
    <row r="220" spans="1:7" ht="15.75" x14ac:dyDescent="0.3">
      <c r="A220" s="5" t="s">
        <v>430</v>
      </c>
      <c r="B220" s="5" t="str">
        <f>REPLACE(A220,1,9,"4012xxx")</f>
        <v>4012xxx</v>
      </c>
      <c r="C220" s="3" t="s">
        <v>431</v>
      </c>
      <c r="D220" s="4"/>
      <c r="E220" s="4"/>
      <c r="F220" s="4"/>
      <c r="G220" s="4"/>
    </row>
    <row r="221" spans="1:7" ht="15.75" x14ac:dyDescent="0.3">
      <c r="A221" s="5" t="s">
        <v>432</v>
      </c>
      <c r="B221" s="5" t="str">
        <f>REPLACE(A221,1,9,"4013xxx")</f>
        <v>4013xxx</v>
      </c>
      <c r="C221" s="3" t="s">
        <v>433</v>
      </c>
      <c r="D221" s="4"/>
      <c r="E221" s="4"/>
      <c r="F221" s="4"/>
      <c r="G221" s="4"/>
    </row>
    <row r="222" spans="1:7" ht="15.75" x14ac:dyDescent="0.3">
      <c r="A222" s="5" t="s">
        <v>434</v>
      </c>
      <c r="B222" s="5" t="str">
        <f>REPLACE(A222,1,9,"4014xxx")</f>
        <v>4014xxx</v>
      </c>
      <c r="C222" s="3" t="s">
        <v>435</v>
      </c>
      <c r="D222" s="4"/>
      <c r="E222" s="4"/>
      <c r="F222" s="4"/>
      <c r="G222" s="4"/>
    </row>
    <row r="223" spans="1:7" ht="15.75" x14ac:dyDescent="0.3">
      <c r="A223" s="5" t="s">
        <v>436</v>
      </c>
      <c r="B223" s="5" t="str">
        <f>REPLACE(A223,1,9,"4002xxx")</f>
        <v>4002xxx</v>
      </c>
      <c r="C223" s="3" t="s">
        <v>23</v>
      </c>
      <c r="D223" s="4"/>
      <c r="E223" s="4"/>
      <c r="F223" s="4"/>
      <c r="G223" s="4"/>
    </row>
    <row r="224" spans="1:7" ht="15.75" x14ac:dyDescent="0.3">
      <c r="A224" s="5" t="s">
        <v>437</v>
      </c>
      <c r="B224" s="5" t="str">
        <f>REPLACE(A224,1,9,"4130xxx")</f>
        <v>4130xxx</v>
      </c>
      <c r="C224" s="3" t="s">
        <v>438</v>
      </c>
      <c r="D224" s="4"/>
      <c r="E224" s="4"/>
      <c r="F224" s="4"/>
      <c r="G224" s="4"/>
    </row>
    <row r="225" spans="1:7" ht="15.75" x14ac:dyDescent="0.3">
      <c r="A225" s="5" t="s">
        <v>439</v>
      </c>
      <c r="B225" s="5" t="str">
        <f>REPLACE(A225,1,9,"4131xxx")</f>
        <v>4131xxx</v>
      </c>
      <c r="C225" s="3" t="s">
        <v>440</v>
      </c>
      <c r="D225" s="4"/>
      <c r="E225" s="4"/>
      <c r="F225" s="4"/>
      <c r="G225" s="4"/>
    </row>
    <row r="226" spans="1:7" ht="15.75" x14ac:dyDescent="0.3">
      <c r="A226" s="5" t="s">
        <v>441</v>
      </c>
      <c r="B226" s="5" t="str">
        <f>REPLACE(A226,1,9,"4132xxx")</f>
        <v>4132xxx</v>
      </c>
      <c r="C226" s="3" t="s">
        <v>442</v>
      </c>
      <c r="D226" s="4"/>
      <c r="E226" s="4"/>
      <c r="F226" s="4"/>
      <c r="G226" s="4"/>
    </row>
    <row r="227" spans="1:7" ht="15.75" x14ac:dyDescent="0.3">
      <c r="A227" s="5" t="s">
        <v>443</v>
      </c>
      <c r="B227" s="5" t="str">
        <f>REPLACE(A227,1,9,"4133xxx")</f>
        <v>4133xxx</v>
      </c>
      <c r="C227" s="3" t="s">
        <v>444</v>
      </c>
      <c r="D227" s="4"/>
      <c r="E227" s="4"/>
      <c r="F227" s="4"/>
      <c r="G227" s="4"/>
    </row>
    <row r="228" spans="1:7" ht="15.75" x14ac:dyDescent="0.3">
      <c r="A228" s="5" t="s">
        <v>445</v>
      </c>
      <c r="B228" s="5" t="str">
        <f>REPLACE(A228,1,9,"4134xxx")</f>
        <v>4134xxx</v>
      </c>
      <c r="C228" s="3" t="s">
        <v>446</v>
      </c>
      <c r="D228" s="4"/>
      <c r="E228" s="4"/>
      <c r="F228" s="4"/>
      <c r="G228" s="4"/>
    </row>
    <row r="229" spans="1:7" ht="15.75" x14ac:dyDescent="0.3">
      <c r="A229" s="5" t="s">
        <v>447</v>
      </c>
      <c r="B229" s="5" t="str">
        <f>REPLACE(A229,1,9,"4135xxx")</f>
        <v>4135xxx</v>
      </c>
      <c r="C229" s="3" t="s">
        <v>448</v>
      </c>
      <c r="D229" s="4"/>
      <c r="E229" s="4"/>
      <c r="F229" s="4"/>
      <c r="G229" s="4"/>
    </row>
    <row r="230" spans="1:7" ht="15.75" x14ac:dyDescent="0.3">
      <c r="A230" s="5" t="s">
        <v>449</v>
      </c>
      <c r="B230" s="5" t="str">
        <f>REPLACE(A230,1,9,"4136xxx")</f>
        <v>4136xxx</v>
      </c>
      <c r="C230" s="3" t="s">
        <v>450</v>
      </c>
      <c r="D230" s="4"/>
      <c r="E230" s="4"/>
      <c r="F230" s="4"/>
      <c r="G230" s="4"/>
    </row>
    <row r="231" spans="1:7" ht="15.75" x14ac:dyDescent="0.3">
      <c r="A231" s="5" t="s">
        <v>451</v>
      </c>
      <c r="B231" s="5" t="str">
        <f>REPLACE(A231,1,9,"4137xxx")</f>
        <v>4137xxx</v>
      </c>
      <c r="C231" s="3" t="s">
        <v>452</v>
      </c>
      <c r="D231" s="4"/>
      <c r="E231" s="4"/>
      <c r="F231" s="4"/>
      <c r="G231" s="4"/>
    </row>
    <row r="232" spans="1:7" ht="15.75" x14ac:dyDescent="0.3">
      <c r="A232" s="5" t="s">
        <v>453</v>
      </c>
      <c r="B232" s="5" t="str">
        <f>REPLACE(A232,1,9,"4138xxx")</f>
        <v>4138xxx</v>
      </c>
      <c r="C232" s="3" t="s">
        <v>454</v>
      </c>
      <c r="D232" s="4"/>
      <c r="E232" s="4"/>
      <c r="F232" s="4"/>
      <c r="G232" s="4"/>
    </row>
    <row r="233" spans="1:7" ht="15.75" x14ac:dyDescent="0.3">
      <c r="A233" s="5" t="s">
        <v>455</v>
      </c>
      <c r="B233" s="5" t="str">
        <f>REPLACE(A233,1,9,"4139xxx")</f>
        <v>4139xxx</v>
      </c>
      <c r="C233" s="3" t="s">
        <v>456</v>
      </c>
      <c r="D233" s="4"/>
      <c r="E233" s="4"/>
      <c r="F233" s="4"/>
      <c r="G233" s="4"/>
    </row>
    <row r="234" spans="1:7" ht="15.75" x14ac:dyDescent="0.3">
      <c r="A234" s="5" t="s">
        <v>457</v>
      </c>
      <c r="B234" s="5" t="str">
        <f>REPLACE(A234,1,9,"4140xxx")</f>
        <v>4140xxx</v>
      </c>
      <c r="C234" s="3" t="s">
        <v>458</v>
      </c>
      <c r="D234" s="4"/>
      <c r="E234" s="4"/>
      <c r="F234" s="4"/>
      <c r="G234" s="4"/>
    </row>
    <row r="235" spans="1:7" ht="15.75" x14ac:dyDescent="0.3">
      <c r="A235" s="5" t="s">
        <v>459</v>
      </c>
      <c r="B235" s="5" t="str">
        <f>REPLACE(A235,1,9,"4141xxx")</f>
        <v>4141xxx</v>
      </c>
      <c r="C235" s="3" t="s">
        <v>460</v>
      </c>
      <c r="D235" s="4"/>
      <c r="E235" s="4"/>
      <c r="F235" s="4"/>
      <c r="G235" s="4"/>
    </row>
    <row r="236" spans="1:7" ht="15.75" x14ac:dyDescent="0.3">
      <c r="A236" s="5" t="s">
        <v>461</v>
      </c>
      <c r="B236" s="5" t="str">
        <f>REPLACE(A236,1,9,"4142xxx")</f>
        <v>4142xxx</v>
      </c>
      <c r="C236" s="3" t="s">
        <v>462</v>
      </c>
      <c r="D236" s="4"/>
      <c r="E236" s="4"/>
      <c r="F236" s="4"/>
      <c r="G236" s="4"/>
    </row>
    <row r="237" spans="1:7" ht="15.75" x14ac:dyDescent="0.3">
      <c r="A237" s="5" t="s">
        <v>463</v>
      </c>
      <c r="B237" s="5" t="str">
        <f>REPLACE(A237,1,9,"4143xxx")</f>
        <v>4143xxx</v>
      </c>
      <c r="C237" s="3" t="s">
        <v>464</v>
      </c>
      <c r="D237" s="4"/>
      <c r="E237" s="4"/>
      <c r="F237" s="4"/>
      <c r="G237" s="4"/>
    </row>
    <row r="238" spans="1:7" ht="15.75" x14ac:dyDescent="0.3">
      <c r="A238" s="5" t="s">
        <v>465</v>
      </c>
      <c r="B238" s="5" t="str">
        <f>REPLACE(A238,1,9,"4101xxx")</f>
        <v>4101xxx</v>
      </c>
      <c r="C238" s="3" t="s">
        <v>24</v>
      </c>
      <c r="D238" s="4"/>
      <c r="E238" s="4"/>
      <c r="F238" s="4"/>
      <c r="G238" s="4"/>
    </row>
    <row r="239" spans="1:7" ht="15.75" x14ac:dyDescent="0.3">
      <c r="A239" s="5" t="s">
        <v>466</v>
      </c>
      <c r="B239" s="5" t="str">
        <f>REPLACE(A239,1,9,"4102xxx")</f>
        <v>4102xxx</v>
      </c>
      <c r="C239" s="3" t="s">
        <v>467</v>
      </c>
      <c r="D239" s="4"/>
      <c r="E239" s="4"/>
      <c r="F239" s="4"/>
      <c r="G239" s="4"/>
    </row>
    <row r="240" spans="1:7" ht="15.75" x14ac:dyDescent="0.3">
      <c r="A240" s="5" t="s">
        <v>468</v>
      </c>
      <c r="B240" s="5" t="str">
        <f>REPLACE(A240,1,9,"4103xxx")</f>
        <v>4103xxx</v>
      </c>
      <c r="C240" s="3" t="s">
        <v>469</v>
      </c>
      <c r="D240" s="4"/>
      <c r="E240" s="4"/>
      <c r="F240" s="4"/>
      <c r="G240" s="4"/>
    </row>
    <row r="241" spans="1:7" ht="15.75" x14ac:dyDescent="0.3">
      <c r="A241" s="5" t="s">
        <v>470</v>
      </c>
      <c r="B241" s="5" t="str">
        <f>REPLACE(A241,1,9,"4104xxx")</f>
        <v>4104xxx</v>
      </c>
      <c r="C241" s="3" t="s">
        <v>471</v>
      </c>
      <c r="D241" s="4"/>
      <c r="E241" s="4"/>
      <c r="F241" s="4"/>
      <c r="G241" s="4"/>
    </row>
    <row r="242" spans="1:7" ht="15.75" x14ac:dyDescent="0.3">
      <c r="A242" s="5" t="s">
        <v>472</v>
      </c>
      <c r="B242" s="5" t="str">
        <f>REPLACE(A242,1,9,"4105xxx")</f>
        <v>4105xxx</v>
      </c>
      <c r="C242" s="3" t="s">
        <v>473</v>
      </c>
      <c r="D242" s="4"/>
      <c r="E242" s="4"/>
      <c r="F242" s="4"/>
      <c r="G242" s="4"/>
    </row>
    <row r="243" spans="1:7" ht="15.75" x14ac:dyDescent="0.3">
      <c r="A243" s="5" t="s">
        <v>474</v>
      </c>
      <c r="B243" s="5" t="str">
        <f>REPLACE(A243,1,9,"4106xxx")</f>
        <v>4106xxx</v>
      </c>
      <c r="C243" s="3" t="s">
        <v>475</v>
      </c>
      <c r="D243" s="4"/>
      <c r="E243" s="4"/>
      <c r="F243" s="4"/>
      <c r="G243" s="4"/>
    </row>
    <row r="244" spans="1:7" ht="15.75" x14ac:dyDescent="0.3">
      <c r="A244" s="5" t="s">
        <v>476</v>
      </c>
      <c r="B244" s="5" t="str">
        <f>REPLACE(A244,1,9,"4107xxx")</f>
        <v>4107xxx</v>
      </c>
      <c r="C244" s="3" t="s">
        <v>477</v>
      </c>
      <c r="D244" s="4"/>
      <c r="E244" s="4"/>
      <c r="F244" s="4"/>
      <c r="G244" s="4"/>
    </row>
    <row r="245" spans="1:7" ht="15.75" x14ac:dyDescent="0.3">
      <c r="A245" s="5" t="s">
        <v>478</v>
      </c>
      <c r="B245" s="5" t="str">
        <f>REPLACE(A245,1,9,"4108xxx")</f>
        <v>4108xxx</v>
      </c>
      <c r="C245" s="3" t="s">
        <v>479</v>
      </c>
      <c r="D245" s="4"/>
      <c r="E245" s="4"/>
      <c r="F245" s="4"/>
      <c r="G245" s="4"/>
    </row>
    <row r="246" spans="1:7" ht="15.75" x14ac:dyDescent="0.3">
      <c r="A246" s="5" t="s">
        <v>480</v>
      </c>
      <c r="B246" s="5" t="str">
        <f>REPLACE(A246,1,9,"4109xxx")</f>
        <v>4109xxx</v>
      </c>
      <c r="C246" s="3" t="s">
        <v>481</v>
      </c>
      <c r="D246" s="4"/>
      <c r="E246" s="4"/>
      <c r="F246" s="4"/>
      <c r="G246" s="4"/>
    </row>
    <row r="247" spans="1:7" ht="15.75" x14ac:dyDescent="0.3">
      <c r="A247" s="5" t="s">
        <v>482</v>
      </c>
      <c r="B247" s="5" t="str">
        <f>REPLACE(A247,1,9,"4110xxx")</f>
        <v>4110xxx</v>
      </c>
      <c r="C247" s="3" t="s">
        <v>483</v>
      </c>
      <c r="D247" s="4"/>
      <c r="E247" s="4"/>
      <c r="F247" s="4"/>
      <c r="G247" s="4"/>
    </row>
    <row r="248" spans="1:7" ht="15.75" x14ac:dyDescent="0.3">
      <c r="A248" s="5" t="s">
        <v>484</v>
      </c>
      <c r="B248" s="5" t="str">
        <f>REPLACE(A248,1,9,"4111xxx")</f>
        <v>4111xxx</v>
      </c>
      <c r="C248" s="3" t="s">
        <v>485</v>
      </c>
      <c r="D248" s="4"/>
      <c r="E248" s="4"/>
      <c r="F248" s="4"/>
      <c r="G248" s="4"/>
    </row>
    <row r="249" spans="1:7" ht="15.75" x14ac:dyDescent="0.3">
      <c r="A249" s="5" t="s">
        <v>486</v>
      </c>
      <c r="B249" s="5" t="str">
        <f>REPLACE(A249,1,9,"4112xxx")</f>
        <v>4112xxx</v>
      </c>
      <c r="C249" s="3" t="s">
        <v>487</v>
      </c>
      <c r="D249" s="4"/>
      <c r="E249" s="4"/>
      <c r="F249" s="4"/>
      <c r="G249" s="4"/>
    </row>
    <row r="250" spans="1:7" ht="15.75" x14ac:dyDescent="0.3">
      <c r="A250" s="5" t="s">
        <v>488</v>
      </c>
      <c r="B250" s="5" t="str">
        <f>REPLACE(A250,1,9,"4113xxx")</f>
        <v>4113xxx</v>
      </c>
      <c r="C250" s="3" t="s">
        <v>489</v>
      </c>
      <c r="D250" s="4"/>
      <c r="E250" s="4"/>
      <c r="F250" s="4"/>
      <c r="G250" s="4"/>
    </row>
    <row r="251" spans="1:7" ht="15.75" x14ac:dyDescent="0.3">
      <c r="A251" s="5" t="s">
        <v>490</v>
      </c>
      <c r="B251" s="5" t="str">
        <f>REPLACE(A251,1,9,"4114xxx")</f>
        <v>4114xxx</v>
      </c>
      <c r="C251" s="3" t="s">
        <v>491</v>
      </c>
      <c r="D251" s="4"/>
      <c r="E251" s="4"/>
      <c r="F251" s="4"/>
      <c r="G251" s="4"/>
    </row>
    <row r="252" spans="1:7" ht="15.75" x14ac:dyDescent="0.3">
      <c r="A252" s="5" t="s">
        <v>492</v>
      </c>
      <c r="B252" s="5" t="str">
        <f>REPLACE(A252,1,9,"4115xxx")</f>
        <v>4115xxx</v>
      </c>
      <c r="C252" s="3" t="s">
        <v>493</v>
      </c>
      <c r="D252" s="4"/>
      <c r="E252" s="4"/>
      <c r="F252" s="4"/>
      <c r="G252" s="4"/>
    </row>
    <row r="253" spans="1:7" ht="15.75" x14ac:dyDescent="0.3">
      <c r="A253" s="5" t="s">
        <v>494</v>
      </c>
      <c r="B253" s="5" t="str">
        <f>REPLACE(A253,1,9,"4116xxx")</f>
        <v>4116xxx</v>
      </c>
      <c r="C253" s="3" t="s">
        <v>495</v>
      </c>
      <c r="D253" s="4"/>
      <c r="E253" s="4"/>
      <c r="F253" s="4"/>
      <c r="G253" s="4"/>
    </row>
    <row r="254" spans="1:7" ht="15.75" x14ac:dyDescent="0.3">
      <c r="A254" s="5" t="s">
        <v>496</v>
      </c>
      <c r="B254" s="5" t="str">
        <f>REPLACE(A254,1,9,"4173xxx")</f>
        <v>4173xxx</v>
      </c>
      <c r="C254" s="3" t="s">
        <v>497</v>
      </c>
      <c r="D254" s="4"/>
      <c r="E254" s="4"/>
      <c r="F254" s="4"/>
      <c r="G254" s="4"/>
    </row>
    <row r="255" spans="1:7" ht="15.75" x14ac:dyDescent="0.3">
      <c r="A255" s="5" t="s">
        <v>498</v>
      </c>
      <c r="B255" s="5" t="str">
        <f>REPLACE(A255,1,9,"4174xxx")</f>
        <v>4174xxx</v>
      </c>
      <c r="C255" s="3" t="s">
        <v>499</v>
      </c>
      <c r="D255" s="4"/>
      <c r="E255" s="4"/>
      <c r="F255" s="4"/>
      <c r="G255" s="4"/>
    </row>
    <row r="256" spans="1:7" ht="15.75" x14ac:dyDescent="0.3">
      <c r="A256" s="5" t="s">
        <v>500</v>
      </c>
      <c r="B256" s="5" t="str">
        <f>REPLACE(A256,1,9,"4175xxx")</f>
        <v>4175xxx</v>
      </c>
      <c r="C256" s="3" t="s">
        <v>501</v>
      </c>
      <c r="D256" s="4"/>
      <c r="E256" s="4"/>
      <c r="F256" s="4"/>
      <c r="G256" s="4"/>
    </row>
    <row r="257" spans="1:7" ht="15.75" x14ac:dyDescent="0.3">
      <c r="A257" s="5" t="s">
        <v>502</v>
      </c>
      <c r="B257" s="5" t="str">
        <f>REPLACE(A257,1,9,"4176xxx")</f>
        <v>4176xxx</v>
      </c>
      <c r="C257" s="3" t="s">
        <v>503</v>
      </c>
      <c r="D257" s="4"/>
      <c r="E257" s="4"/>
      <c r="F257" s="4"/>
      <c r="G257" s="4"/>
    </row>
    <row r="258" spans="1:7" ht="15.75" x14ac:dyDescent="0.3">
      <c r="A258" s="5" t="s">
        <v>504</v>
      </c>
      <c r="B258" s="5" t="str">
        <f>REPLACE(A258,1,9,"4177xxx")</f>
        <v>4177xxx</v>
      </c>
      <c r="C258" s="3" t="s">
        <v>505</v>
      </c>
      <c r="D258" s="4"/>
      <c r="E258" s="4"/>
      <c r="F258" s="4"/>
      <c r="G258" s="4"/>
    </row>
    <row r="259" spans="1:7" ht="15.75" x14ac:dyDescent="0.3">
      <c r="A259" s="5" t="s">
        <v>506</v>
      </c>
      <c r="B259" s="5" t="str">
        <f>REPLACE(A259,1,9,"4178xxx")</f>
        <v>4178xxx</v>
      </c>
      <c r="C259" s="3" t="s">
        <v>507</v>
      </c>
      <c r="D259" s="4"/>
      <c r="E259" s="4"/>
      <c r="F259" s="4"/>
      <c r="G259" s="4"/>
    </row>
    <row r="260" spans="1:7" ht="15.75" x14ac:dyDescent="0.3">
      <c r="A260" s="5" t="s">
        <v>508</v>
      </c>
      <c r="B260" s="5" t="str">
        <f>REPLACE(A260,1,9,"4179xxx")</f>
        <v>4179xxx</v>
      </c>
      <c r="C260" s="3" t="s">
        <v>509</v>
      </c>
      <c r="D260" s="4"/>
      <c r="E260" s="4"/>
      <c r="F260" s="4"/>
      <c r="G260" s="4"/>
    </row>
    <row r="261" spans="1:7" ht="15.75" x14ac:dyDescent="0.3">
      <c r="A261" s="5" t="s">
        <v>510</v>
      </c>
      <c r="B261" s="5" t="str">
        <f>REPLACE(A261,1,9,"4180xxx")</f>
        <v>4180xxx</v>
      </c>
      <c r="C261" s="3" t="s">
        <v>511</v>
      </c>
      <c r="D261" s="4"/>
      <c r="E261" s="4"/>
      <c r="F261" s="4"/>
      <c r="G261" s="4"/>
    </row>
    <row r="262" spans="1:7" ht="15.75" x14ac:dyDescent="0.3">
      <c r="A262" s="5" t="s">
        <v>512</v>
      </c>
      <c r="B262" s="5" t="str">
        <f>REPLACE(A262,1,9,"4168xxx")</f>
        <v>4168xxx</v>
      </c>
      <c r="C262" s="3" t="s">
        <v>513</v>
      </c>
      <c r="D262" s="4"/>
      <c r="E262" s="4"/>
      <c r="F262" s="4"/>
      <c r="G262" s="4"/>
    </row>
    <row r="263" spans="1:7" ht="15.75" x14ac:dyDescent="0.3">
      <c r="A263" s="5" t="s">
        <v>514</v>
      </c>
      <c r="B263" s="5" t="str">
        <f>REPLACE(A263,1,9,"4166xxx")</f>
        <v>4166xxx</v>
      </c>
      <c r="C263" s="3" t="s">
        <v>515</v>
      </c>
      <c r="D263" s="4"/>
      <c r="E263" s="4"/>
      <c r="F263" s="4"/>
      <c r="G263" s="4"/>
    </row>
    <row r="264" spans="1:7" ht="15.75" x14ac:dyDescent="0.3">
      <c r="A264" s="5" t="s">
        <v>516</v>
      </c>
      <c r="B264" s="5" t="str">
        <f>REPLACE(A264,1,9,"4167xxx")</f>
        <v>4167xxx</v>
      </c>
      <c r="C264" s="3" t="s">
        <v>517</v>
      </c>
      <c r="D264" s="4"/>
      <c r="E264" s="4"/>
      <c r="F264" s="4"/>
      <c r="G264" s="4"/>
    </row>
    <row r="265" spans="1:7" ht="15.75" x14ac:dyDescent="0.3">
      <c r="A265" s="5" t="s">
        <v>518</v>
      </c>
      <c r="B265" s="5" t="str">
        <f>REPLACE(A265,1,9,"4402xxx")</f>
        <v>4402xxx</v>
      </c>
      <c r="C265" s="3" t="s">
        <v>519</v>
      </c>
      <c r="D265" s="4"/>
      <c r="E265" s="4"/>
      <c r="F265" s="4"/>
      <c r="G265" s="4"/>
    </row>
    <row r="266" spans="1:7" ht="15.75" x14ac:dyDescent="0.3">
      <c r="A266" s="5" t="s">
        <v>520</v>
      </c>
      <c r="B266" s="5" t="str">
        <f>REPLACE(A266,1,9,"4460xxx")</f>
        <v>4460xxx</v>
      </c>
      <c r="C266" s="3" t="s">
        <v>521</v>
      </c>
      <c r="D266" s="4"/>
      <c r="E266" s="4"/>
      <c r="F266" s="4"/>
      <c r="G266" s="4"/>
    </row>
    <row r="267" spans="1:7" ht="15.75" x14ac:dyDescent="0.3">
      <c r="A267" s="5" t="s">
        <v>522</v>
      </c>
      <c r="B267" s="5" t="str">
        <f>REPLACE(A267,1,9,"4401xxx")</f>
        <v>4401xxx</v>
      </c>
      <c r="C267" s="3" t="s">
        <v>523</v>
      </c>
      <c r="D267" s="4"/>
      <c r="E267" s="4"/>
      <c r="F267" s="4"/>
      <c r="G267" s="4"/>
    </row>
    <row r="268" spans="1:7" ht="15.75" x14ac:dyDescent="0.3">
      <c r="A268" s="5" t="s">
        <v>524</v>
      </c>
      <c r="B268" s="5" t="str">
        <f>REPLACE(A268,1,9,"4410xxx")</f>
        <v>4410xxx</v>
      </c>
      <c r="C268" s="3" t="s">
        <v>525</v>
      </c>
      <c r="D268" s="4"/>
      <c r="E268" s="4"/>
      <c r="F268" s="4"/>
      <c r="G268" s="4"/>
    </row>
    <row r="269" spans="1:7" ht="15.75" x14ac:dyDescent="0.3">
      <c r="A269" s="5" t="s">
        <v>526</v>
      </c>
      <c r="B269" s="5" t="str">
        <f>REPLACE(A269,1,9,"4502xxx")</f>
        <v>4502xxx</v>
      </c>
      <c r="C269" s="3" t="s">
        <v>527</v>
      </c>
      <c r="D269" s="4"/>
      <c r="E269" s="4"/>
      <c r="F269" s="4"/>
      <c r="G269" s="4"/>
    </row>
    <row r="270" spans="1:7" ht="15.75" x14ac:dyDescent="0.3">
      <c r="A270" s="5" t="s">
        <v>528</v>
      </c>
      <c r="B270" s="5" t="str">
        <f>REPLACE(A270,1,9,"4560xxx")</f>
        <v>4560xxx</v>
      </c>
      <c r="C270" s="3" t="s">
        <v>529</v>
      </c>
      <c r="D270" s="4"/>
      <c r="E270" s="4"/>
      <c r="F270" s="4"/>
      <c r="G270" s="4"/>
    </row>
    <row r="271" spans="1:7" ht="15.75" x14ac:dyDescent="0.3">
      <c r="A271" s="5" t="s">
        <v>530</v>
      </c>
      <c r="B271" s="5" t="str">
        <f>REPLACE(A271,1,9,"4561xxx")</f>
        <v>4561xxx</v>
      </c>
      <c r="C271" s="3" t="s">
        <v>531</v>
      </c>
      <c r="D271" s="4"/>
      <c r="E271" s="4"/>
      <c r="F271" s="4"/>
      <c r="G271" s="4"/>
    </row>
    <row r="272" spans="1:7" ht="15.75" x14ac:dyDescent="0.3">
      <c r="A272" s="5" t="s">
        <v>532</v>
      </c>
      <c r="B272" s="5" t="str">
        <f>REPLACE(A272,1,9,"4562xxx")</f>
        <v>4562xxx</v>
      </c>
      <c r="C272" s="3" t="s">
        <v>533</v>
      </c>
      <c r="D272" s="4"/>
      <c r="E272" s="4"/>
      <c r="F272" s="4"/>
      <c r="G272" s="4"/>
    </row>
    <row r="273" spans="1:7" ht="15.75" x14ac:dyDescent="0.3">
      <c r="A273" s="5" t="s">
        <v>534</v>
      </c>
      <c r="B273" s="5" t="str">
        <f>REPLACE(A273,1,9,"4563xxx")</f>
        <v>4563xxx</v>
      </c>
      <c r="C273" s="3" t="s">
        <v>535</v>
      </c>
      <c r="D273" s="4"/>
      <c r="E273" s="4"/>
      <c r="F273" s="4"/>
      <c r="G273" s="4"/>
    </row>
    <row r="274" spans="1:7" ht="15.75" x14ac:dyDescent="0.3">
      <c r="A274" s="5" t="s">
        <v>536</v>
      </c>
      <c r="B274" s="5" t="str">
        <f>REPLACE(A274,1,9,"4564xxx")</f>
        <v>4564xxx</v>
      </c>
      <c r="C274" s="3" t="s">
        <v>537</v>
      </c>
      <c r="D274" s="4"/>
      <c r="E274" s="4"/>
      <c r="F274" s="4"/>
      <c r="G274" s="4"/>
    </row>
    <row r="275" spans="1:7" ht="15.75" x14ac:dyDescent="0.3">
      <c r="A275" s="5" t="s">
        <v>538</v>
      </c>
      <c r="B275" s="5" t="str">
        <f>REPLACE(A275,1,9,"4565xxx")</f>
        <v>4565xxx</v>
      </c>
      <c r="C275" s="3" t="s">
        <v>539</v>
      </c>
      <c r="D275" s="4"/>
      <c r="E275" s="4"/>
      <c r="F275" s="4"/>
      <c r="G275" s="4"/>
    </row>
    <row r="276" spans="1:7" ht="15.75" x14ac:dyDescent="0.3">
      <c r="A276" s="5" t="s">
        <v>540</v>
      </c>
      <c r="B276" s="5" t="str">
        <f>REPLACE(A276,1,9,"4501xxx")</f>
        <v>4501xxx</v>
      </c>
      <c r="C276" s="3" t="s">
        <v>25</v>
      </c>
      <c r="D276" s="4"/>
      <c r="E276" s="4"/>
      <c r="F276" s="4"/>
      <c r="G276" s="4"/>
    </row>
    <row r="277" spans="1:7" ht="15.75" x14ac:dyDescent="0.3">
      <c r="A277" s="5" t="s">
        <v>541</v>
      </c>
      <c r="B277" s="5" t="str">
        <f>REPLACE(A277,1,9,"4602xxx")</f>
        <v>4602xxx</v>
      </c>
      <c r="C277" s="3" t="s">
        <v>542</v>
      </c>
      <c r="D277" s="4"/>
      <c r="E277" s="4"/>
      <c r="F277" s="4"/>
      <c r="G277" s="4"/>
    </row>
    <row r="278" spans="1:7" ht="15.75" x14ac:dyDescent="0.3">
      <c r="A278" s="5" t="s">
        <v>543</v>
      </c>
      <c r="B278" s="5" t="str">
        <f>REPLACE(A278,1,9,"4610xxx")</f>
        <v>4610xxx</v>
      </c>
      <c r="C278" s="3" t="s">
        <v>544</v>
      </c>
      <c r="D278" s="4"/>
      <c r="E278" s="4"/>
      <c r="F278" s="4"/>
      <c r="G278" s="4"/>
    </row>
    <row r="279" spans="1:7" ht="15.75" x14ac:dyDescent="0.3">
      <c r="A279" s="5" t="s">
        <v>545</v>
      </c>
      <c r="B279" s="5" t="str">
        <f>REPLACE(A279,1,9,"4611xxx")</f>
        <v>4611xxx</v>
      </c>
      <c r="C279" s="3" t="s">
        <v>544</v>
      </c>
      <c r="D279" s="4"/>
      <c r="E279" s="4"/>
      <c r="F279" s="4"/>
      <c r="G279" s="4"/>
    </row>
    <row r="280" spans="1:7" ht="15.75" x14ac:dyDescent="0.3">
      <c r="A280" s="5" t="s">
        <v>546</v>
      </c>
      <c r="B280" s="5" t="str">
        <f>REPLACE(A280,1,9,"4612xxx")</f>
        <v>4612xxx</v>
      </c>
      <c r="C280" s="3" t="s">
        <v>544</v>
      </c>
      <c r="D280" s="4"/>
      <c r="E280" s="4"/>
      <c r="F280" s="4"/>
      <c r="G280" s="4"/>
    </row>
    <row r="281" spans="1:7" ht="15.75" x14ac:dyDescent="0.3">
      <c r="A281" s="5" t="s">
        <v>547</v>
      </c>
      <c r="B281" s="5" t="str">
        <f>REPLACE(A281,1,9,"4702xxx")</f>
        <v>4702xxx</v>
      </c>
      <c r="C281" s="3" t="s">
        <v>548</v>
      </c>
      <c r="D281" s="4"/>
      <c r="E281" s="4"/>
      <c r="F281" s="4"/>
      <c r="G281" s="4"/>
    </row>
    <row r="282" spans="1:7" ht="15.75" x14ac:dyDescent="0.3">
      <c r="A282" s="5" t="s">
        <v>549</v>
      </c>
      <c r="B282" s="5" t="str">
        <f>REPLACE(A282,1,9,"4703xxx")</f>
        <v>4703xxx</v>
      </c>
      <c r="C282" s="3" t="s">
        <v>550</v>
      </c>
      <c r="D282" s="4"/>
      <c r="E282" s="4"/>
      <c r="F282" s="4"/>
      <c r="G282" s="4"/>
    </row>
    <row r="283" spans="1:7" ht="15.75" x14ac:dyDescent="0.3">
      <c r="A283" s="5" t="s">
        <v>551</v>
      </c>
      <c r="B283" s="5" t="str">
        <f>REPLACE(A283,1,9,"4710xxx")</f>
        <v>4710xxx</v>
      </c>
      <c r="C283" s="3" t="s">
        <v>552</v>
      </c>
      <c r="D283" s="4"/>
      <c r="E283" s="4"/>
      <c r="F283" s="4"/>
      <c r="G283" s="4"/>
    </row>
    <row r="284" spans="1:7" ht="15.75" x14ac:dyDescent="0.3">
      <c r="A284" s="5" t="s">
        <v>553</v>
      </c>
      <c r="B284" s="5" t="str">
        <f>REPLACE(A284,1,9,"4701xxx")</f>
        <v>4701xxx</v>
      </c>
      <c r="C284" s="3" t="s">
        <v>26</v>
      </c>
      <c r="D284" s="4"/>
      <c r="E284" s="4"/>
      <c r="F284" s="4"/>
      <c r="G284" s="4"/>
    </row>
    <row r="285" spans="1:7" ht="15.75" x14ac:dyDescent="0.3">
      <c r="A285" s="5" t="s">
        <v>554</v>
      </c>
      <c r="B285" s="5" t="str">
        <f>REPLACE(A285,1,9,"4802xxx")</f>
        <v>4802xxx</v>
      </c>
      <c r="C285" s="3" t="s">
        <v>27</v>
      </c>
      <c r="D285" s="4"/>
      <c r="E285" s="4"/>
      <c r="F285" s="4"/>
      <c r="G285" s="4"/>
    </row>
    <row r="286" spans="1:7" ht="15.75" x14ac:dyDescent="0.3">
      <c r="A286" s="5" t="s">
        <v>555</v>
      </c>
      <c r="B286" s="5" t="str">
        <f>REPLACE(A286,1,9,"4860xxx")</f>
        <v>4860xxx</v>
      </c>
      <c r="C286" s="3" t="s">
        <v>556</v>
      </c>
      <c r="D286" s="4"/>
      <c r="E286" s="4"/>
      <c r="F286" s="4"/>
      <c r="G286" s="4"/>
    </row>
    <row r="287" spans="1:7" ht="15.75" x14ac:dyDescent="0.3">
      <c r="A287" s="5" t="s">
        <v>557</v>
      </c>
      <c r="B287" s="5" t="str">
        <f>REPLACE(A287,1,9,"4861xxx")</f>
        <v>4861xxx</v>
      </c>
      <c r="C287" s="3" t="s">
        <v>558</v>
      </c>
      <c r="D287" s="4"/>
      <c r="E287" s="4"/>
      <c r="F287" s="4"/>
      <c r="G287" s="4"/>
    </row>
    <row r="288" spans="1:7" ht="15.75" x14ac:dyDescent="0.3">
      <c r="A288" s="5" t="s">
        <v>559</v>
      </c>
      <c r="B288" s="5" t="str">
        <f>REPLACE(A288,1,9,"4862xxx")</f>
        <v>4862xxx</v>
      </c>
      <c r="C288" s="3" t="s">
        <v>560</v>
      </c>
      <c r="D288" s="4"/>
      <c r="E288" s="4"/>
      <c r="F288" s="4"/>
      <c r="G288" s="4"/>
    </row>
    <row r="289" spans="1:7" ht="15.75" x14ac:dyDescent="0.3">
      <c r="A289" s="5" t="s">
        <v>561</v>
      </c>
      <c r="B289" s="5" t="str">
        <f>REPLACE(A289,1,9,"4863xxx")</f>
        <v>4863xxx</v>
      </c>
      <c r="C289" s="3" t="s">
        <v>562</v>
      </c>
      <c r="D289" s="4"/>
      <c r="E289" s="4"/>
      <c r="F289" s="4"/>
      <c r="G289" s="4"/>
    </row>
    <row r="290" spans="1:7" ht="15.75" x14ac:dyDescent="0.3">
      <c r="A290" s="5" t="s">
        <v>563</v>
      </c>
      <c r="B290" s="5" t="str">
        <f>REPLACE(A290,1,9,"4864xxx")</f>
        <v>4864xxx</v>
      </c>
      <c r="C290" s="3" t="s">
        <v>564</v>
      </c>
      <c r="D290" s="4"/>
      <c r="E290" s="4"/>
      <c r="F290" s="4"/>
      <c r="G290" s="4"/>
    </row>
    <row r="291" spans="1:7" ht="15.75" x14ac:dyDescent="0.3">
      <c r="A291" s="5" t="s">
        <v>565</v>
      </c>
      <c r="B291" s="5" t="str">
        <f>REPLACE(A291,1,9,"4865xxx")</f>
        <v>4865xxx</v>
      </c>
      <c r="C291" s="3" t="s">
        <v>566</v>
      </c>
      <c r="D291" s="4"/>
      <c r="E291" s="4"/>
      <c r="F291" s="4"/>
      <c r="G291" s="4"/>
    </row>
    <row r="292" spans="1:7" ht="15.75" x14ac:dyDescent="0.3">
      <c r="A292" s="5" t="s">
        <v>567</v>
      </c>
      <c r="B292" s="5" t="str">
        <f>REPLACE(A292,1,9,"4866xxx")</f>
        <v>4866xxx</v>
      </c>
      <c r="C292" s="3" t="s">
        <v>568</v>
      </c>
      <c r="D292" s="4"/>
      <c r="E292" s="4"/>
      <c r="F292" s="4"/>
      <c r="G292" s="4"/>
    </row>
    <row r="293" spans="1:7" ht="15.75" x14ac:dyDescent="0.3">
      <c r="A293" s="5" t="s">
        <v>569</v>
      </c>
      <c r="B293" s="5" t="str">
        <f>REPLACE(A293,1,9,"4867xxx")</f>
        <v>4867xxx</v>
      </c>
      <c r="C293" s="3" t="s">
        <v>570</v>
      </c>
      <c r="D293" s="4"/>
      <c r="E293" s="4"/>
      <c r="F293" s="4"/>
      <c r="G293" s="4"/>
    </row>
    <row r="294" spans="1:7" ht="15.75" x14ac:dyDescent="0.3">
      <c r="A294" s="5" t="s">
        <v>571</v>
      </c>
      <c r="B294" s="5" t="str">
        <f>REPLACE(A294,1,9,"4868xxx")</f>
        <v>4868xxx</v>
      </c>
      <c r="C294" s="3" t="s">
        <v>572</v>
      </c>
      <c r="D294" s="4"/>
      <c r="E294" s="4"/>
      <c r="F294" s="4"/>
      <c r="G294" s="4"/>
    </row>
    <row r="295" spans="1:7" ht="15.75" x14ac:dyDescent="0.3">
      <c r="A295" s="5" t="s">
        <v>573</v>
      </c>
      <c r="B295" s="5" t="str">
        <f>REPLACE(A295,1,9,"4869xxx")</f>
        <v>4869xxx</v>
      </c>
      <c r="C295" s="3" t="s">
        <v>574</v>
      </c>
      <c r="D295" s="4"/>
      <c r="E295" s="4"/>
      <c r="F295" s="4"/>
      <c r="G295" s="4"/>
    </row>
    <row r="296" spans="1:7" ht="15.75" x14ac:dyDescent="0.3">
      <c r="A296" s="5" t="s">
        <v>575</v>
      </c>
      <c r="B296" s="5" t="str">
        <f>REPLACE(A296,1,9,"4870xxx")</f>
        <v>4870xxx</v>
      </c>
      <c r="C296" s="3" t="s">
        <v>576</v>
      </c>
      <c r="D296" s="4"/>
      <c r="E296" s="4"/>
      <c r="F296" s="4"/>
      <c r="G296" s="4"/>
    </row>
    <row r="297" spans="1:7" ht="15.75" x14ac:dyDescent="0.3">
      <c r="A297" s="5" t="s">
        <v>577</v>
      </c>
      <c r="B297" s="5" t="str">
        <f>REPLACE(A297,1,9,"4871xxx")</f>
        <v>4871xxx</v>
      </c>
      <c r="C297" s="3" t="s">
        <v>578</v>
      </c>
      <c r="D297" s="4"/>
      <c r="E297" s="4"/>
      <c r="F297" s="4"/>
      <c r="G297" s="4"/>
    </row>
    <row r="298" spans="1:7" ht="15.75" x14ac:dyDescent="0.3">
      <c r="A298" s="5" t="s">
        <v>579</v>
      </c>
      <c r="B298" s="5" t="str">
        <f>REPLACE(A298,1,9,"4872xxx")</f>
        <v>4872xxx</v>
      </c>
      <c r="C298" s="3" t="s">
        <v>580</v>
      </c>
      <c r="D298" s="4"/>
      <c r="E298" s="4"/>
      <c r="F298" s="4"/>
      <c r="G298" s="4"/>
    </row>
    <row r="299" spans="1:7" ht="15.75" x14ac:dyDescent="0.3">
      <c r="A299" s="5" t="s">
        <v>581</v>
      </c>
      <c r="B299" s="5" t="str">
        <f>REPLACE(A299,1,9,"4873xxx")</f>
        <v>4873xxx</v>
      </c>
      <c r="C299" s="3" t="s">
        <v>582</v>
      </c>
      <c r="D299" s="4"/>
      <c r="E299" s="4"/>
      <c r="F299" s="4"/>
      <c r="G299" s="4"/>
    </row>
    <row r="300" spans="1:7" ht="15.75" x14ac:dyDescent="0.3">
      <c r="A300" s="5" t="s">
        <v>583</v>
      </c>
      <c r="B300" s="5" t="str">
        <f>REPLACE(A300,1,9,"4874xxx")</f>
        <v>4874xxx</v>
      </c>
      <c r="C300" s="3" t="s">
        <v>584</v>
      </c>
      <c r="D300" s="4"/>
      <c r="E300" s="4"/>
      <c r="F300" s="4"/>
      <c r="G300" s="4"/>
    </row>
    <row r="301" spans="1:7" ht="15.75" x14ac:dyDescent="0.3">
      <c r="A301" s="5" t="s">
        <v>585</v>
      </c>
      <c r="B301" s="5" t="str">
        <f>REPLACE(A301,1,9,"4875xxx")</f>
        <v>4875xxx</v>
      </c>
      <c r="C301" s="3" t="s">
        <v>586</v>
      </c>
      <c r="D301" s="4"/>
      <c r="E301" s="4"/>
      <c r="F301" s="4"/>
      <c r="G301" s="4"/>
    </row>
    <row r="302" spans="1:7" ht="15.75" x14ac:dyDescent="0.3">
      <c r="A302" s="5" t="s">
        <v>587</v>
      </c>
      <c r="B302" s="5" t="str">
        <f>REPLACE(A302,1,9,"4876xxx")</f>
        <v>4876xxx</v>
      </c>
      <c r="C302" s="3" t="s">
        <v>588</v>
      </c>
      <c r="D302" s="4"/>
      <c r="E302" s="4"/>
      <c r="F302" s="4"/>
      <c r="G302" s="4"/>
    </row>
    <row r="303" spans="1:7" ht="15.75" x14ac:dyDescent="0.3">
      <c r="A303" s="5" t="s">
        <v>589</v>
      </c>
      <c r="B303" s="5" t="str">
        <f>REPLACE(A303,1,9,"4877xxx")</f>
        <v>4877xxx</v>
      </c>
      <c r="C303" s="3" t="s">
        <v>590</v>
      </c>
      <c r="D303" s="4"/>
      <c r="E303" s="4"/>
      <c r="F303" s="4"/>
      <c r="G303" s="4"/>
    </row>
    <row r="304" spans="1:7" ht="15.75" x14ac:dyDescent="0.3">
      <c r="A304" s="5" t="s">
        <v>591</v>
      </c>
      <c r="B304" s="5" t="str">
        <f>REPLACE(A304,1,9,"4879xxx")</f>
        <v>4879xxx</v>
      </c>
      <c r="C304" s="3" t="s">
        <v>592</v>
      </c>
      <c r="D304" s="4"/>
      <c r="E304" s="4"/>
      <c r="F304" s="4"/>
      <c r="G304" s="4"/>
    </row>
    <row r="305" spans="1:7" ht="15.75" x14ac:dyDescent="0.3">
      <c r="A305" s="5" t="s">
        <v>593</v>
      </c>
      <c r="B305" s="5" t="str">
        <f>REPLACE(A305,1,9,"4880xxx")</f>
        <v>4880xxx</v>
      </c>
      <c r="C305" s="3" t="s">
        <v>594</v>
      </c>
      <c r="D305" s="4"/>
      <c r="E305" s="4"/>
      <c r="F305" s="4"/>
      <c r="G305" s="4"/>
    </row>
    <row r="306" spans="1:7" ht="15.75" x14ac:dyDescent="0.3">
      <c r="A306" s="5" t="s">
        <v>595</v>
      </c>
      <c r="B306" s="5" t="str">
        <f>REPLACE(A306,1,9,"4801xxx")</f>
        <v>4801xxx</v>
      </c>
      <c r="C306" s="3" t="s">
        <v>28</v>
      </c>
      <c r="D306" s="4"/>
      <c r="E306" s="4"/>
      <c r="F306" s="4"/>
      <c r="G306" s="4"/>
    </row>
    <row r="307" spans="1:7" ht="15.75" x14ac:dyDescent="0.3">
      <c r="A307" s="5" t="s">
        <v>596</v>
      </c>
      <c r="B307" s="5" t="str">
        <f>REPLACE(A307,1,9,"4820xxx")</f>
        <v>4820xxx</v>
      </c>
      <c r="C307" s="3" t="s">
        <v>597</v>
      </c>
      <c r="D307" s="4"/>
      <c r="E307" s="4"/>
      <c r="F307" s="4"/>
      <c r="G307" s="4"/>
    </row>
    <row r="308" spans="1:7" ht="15.75" x14ac:dyDescent="0.3">
      <c r="A308" s="5" t="s">
        <v>598</v>
      </c>
      <c r="B308" s="5" t="str">
        <f>REPLACE(A308,1,9,"4821xxx")</f>
        <v>4821xxx</v>
      </c>
      <c r="C308" s="3" t="s">
        <v>599</v>
      </c>
      <c r="D308" s="4"/>
      <c r="E308" s="4"/>
      <c r="F308" s="4"/>
      <c r="G308" s="4"/>
    </row>
    <row r="309" spans="1:7" ht="15.75" x14ac:dyDescent="0.3">
      <c r="A309" s="5" t="s">
        <v>600</v>
      </c>
      <c r="B309" s="5" t="str">
        <f>REPLACE(A309,1,9,"4822xxx")</f>
        <v>4822xxx</v>
      </c>
      <c r="C309" s="3" t="s">
        <v>601</v>
      </c>
      <c r="D309" s="4"/>
      <c r="E309" s="4"/>
      <c r="F309" s="4"/>
      <c r="G309" s="4"/>
    </row>
    <row r="310" spans="1:7" ht="15.75" x14ac:dyDescent="0.3">
      <c r="A310" s="5" t="s">
        <v>602</v>
      </c>
      <c r="B310" s="5" t="str">
        <f>REPLACE(A310,1,9,"4823xxx")</f>
        <v>4823xxx</v>
      </c>
      <c r="C310" s="3" t="s">
        <v>603</v>
      </c>
      <c r="D310" s="4"/>
      <c r="E310" s="4"/>
      <c r="F310" s="4"/>
      <c r="G310" s="4"/>
    </row>
    <row r="311" spans="1:7" ht="15.75" x14ac:dyDescent="0.3">
      <c r="A311" s="5" t="s">
        <v>604</v>
      </c>
      <c r="B311" s="5" t="str">
        <f>REPLACE(A311,1,9,"4824xxx")</f>
        <v>4824xxx</v>
      </c>
      <c r="C311" s="3" t="s">
        <v>605</v>
      </c>
      <c r="D311" s="4"/>
      <c r="E311" s="4"/>
      <c r="F311" s="4"/>
      <c r="G311" s="4"/>
    </row>
    <row r="312" spans="1:7" ht="15.75" x14ac:dyDescent="0.3">
      <c r="A312" s="5" t="s">
        <v>606</v>
      </c>
      <c r="B312" s="5" t="str">
        <f>REPLACE(A312,1,9,"4825xxx")</f>
        <v>4825xxx</v>
      </c>
      <c r="C312" s="3" t="s">
        <v>607</v>
      </c>
      <c r="D312" s="4"/>
      <c r="E312" s="4"/>
      <c r="F312" s="4"/>
      <c r="G312" s="4"/>
    </row>
    <row r="313" spans="1:7" ht="15.75" x14ac:dyDescent="0.3">
      <c r="A313" s="5" t="s">
        <v>608</v>
      </c>
      <c r="B313" s="5" t="str">
        <f>REPLACE(A313,1,9,"4826xxx")</f>
        <v>4826xxx</v>
      </c>
      <c r="C313" s="3" t="s">
        <v>609</v>
      </c>
      <c r="D313" s="4"/>
      <c r="E313" s="4"/>
      <c r="F313" s="4"/>
      <c r="G313" s="4"/>
    </row>
    <row r="314" spans="1:7" ht="15.75" x14ac:dyDescent="0.3">
      <c r="A314" s="5" t="s">
        <v>610</v>
      </c>
      <c r="B314" s="5" t="str">
        <f>REPLACE(A314,1,9,"4827xxx")</f>
        <v>4827xxx</v>
      </c>
      <c r="C314" s="3" t="s">
        <v>611</v>
      </c>
      <c r="D314" s="4"/>
      <c r="E314" s="4"/>
      <c r="F314" s="4"/>
      <c r="G314" s="4"/>
    </row>
    <row r="315" spans="1:7" ht="15.75" x14ac:dyDescent="0.3">
      <c r="A315" s="5" t="s">
        <v>612</v>
      </c>
      <c r="B315" s="5" t="str">
        <f>REPLACE(A315,1,9,"4828xxx")</f>
        <v>4828xxx</v>
      </c>
      <c r="C315" s="3" t="s">
        <v>613</v>
      </c>
      <c r="D315" s="4"/>
      <c r="E315" s="4"/>
      <c r="F315" s="4"/>
      <c r="G315" s="4"/>
    </row>
    <row r="316" spans="1:7" ht="15.75" x14ac:dyDescent="0.3">
      <c r="A316" s="5" t="s">
        <v>614</v>
      </c>
      <c r="B316" s="5" t="str">
        <f>REPLACE(A316,1,9,"4829xxx")</f>
        <v>4829xxx</v>
      </c>
      <c r="C316" s="3" t="s">
        <v>615</v>
      </c>
      <c r="D316" s="4"/>
      <c r="E316" s="4"/>
      <c r="F316" s="4"/>
      <c r="G316" s="4"/>
    </row>
    <row r="317" spans="1:7" ht="15.75" x14ac:dyDescent="0.3">
      <c r="A317" s="5" t="s">
        <v>616</v>
      </c>
      <c r="B317" s="5" t="str">
        <f>REPLACE(A317,1,9,"4830xxx")</f>
        <v>4830xxx</v>
      </c>
      <c r="C317" s="3" t="s">
        <v>617</v>
      </c>
      <c r="D317" s="4"/>
      <c r="E317" s="4"/>
      <c r="F317" s="4"/>
      <c r="G317" s="4"/>
    </row>
    <row r="318" spans="1:7" ht="15.75" x14ac:dyDescent="0.3">
      <c r="A318" s="5" t="s">
        <v>618</v>
      </c>
      <c r="B318" s="5" t="str">
        <f>REPLACE(A318,1,9,"4831xxx")</f>
        <v>4831xxx</v>
      </c>
      <c r="C318" s="3" t="s">
        <v>619</v>
      </c>
      <c r="D318" s="4"/>
      <c r="E318" s="4"/>
      <c r="F318" s="4"/>
      <c r="G318" s="4"/>
    </row>
    <row r="319" spans="1:7" ht="15.75" x14ac:dyDescent="0.3">
      <c r="A319" s="5" t="s">
        <v>620</v>
      </c>
      <c r="B319" s="5" t="str">
        <f>REPLACE(A319,1,9,"4832xxx")</f>
        <v>4832xxx</v>
      </c>
      <c r="C319" s="3" t="s">
        <v>621</v>
      </c>
      <c r="D319" s="4"/>
      <c r="E319" s="4"/>
      <c r="F319" s="4"/>
      <c r="G319" s="4"/>
    </row>
    <row r="320" spans="1:7" ht="15.75" x14ac:dyDescent="0.3">
      <c r="A320" s="5" t="s">
        <v>622</v>
      </c>
      <c r="B320" s="5" t="str">
        <f>REPLACE(A320,1,9,"4833xxx")</f>
        <v>4833xxx</v>
      </c>
      <c r="C320" s="3" t="s">
        <v>29</v>
      </c>
      <c r="D320" s="4"/>
      <c r="E320" s="4"/>
      <c r="F320" s="4"/>
      <c r="G320" s="4"/>
    </row>
    <row r="321" spans="1:7" ht="15.75" x14ac:dyDescent="0.3">
      <c r="A321" s="5" t="s">
        <v>623</v>
      </c>
      <c r="B321" s="5" t="str">
        <f>REPLACE(A321,1,9,"4840xxx")</f>
        <v>4840xxx</v>
      </c>
      <c r="C321" s="3" t="s">
        <v>624</v>
      </c>
      <c r="D321" s="4"/>
      <c r="E321" s="4"/>
      <c r="F321" s="4"/>
      <c r="G321" s="4"/>
    </row>
    <row r="322" spans="1:7" ht="15.75" x14ac:dyDescent="0.3">
      <c r="A322" s="5" t="s">
        <v>625</v>
      </c>
      <c r="B322" s="5" t="str">
        <f>REPLACE(A322,1,9,"4841xxx")</f>
        <v>4841xxx</v>
      </c>
      <c r="C322" s="3" t="s">
        <v>626</v>
      </c>
      <c r="D322" s="4"/>
      <c r="E322" s="4"/>
      <c r="F322" s="4"/>
      <c r="G322" s="4"/>
    </row>
    <row r="323" spans="1:7" ht="15.75" x14ac:dyDescent="0.3">
      <c r="A323" s="5" t="s">
        <v>627</v>
      </c>
      <c r="B323" s="5" t="str">
        <f>REPLACE(A323,1,9,"4842xxx")</f>
        <v>4842xxx</v>
      </c>
      <c r="C323" s="3" t="s">
        <v>628</v>
      </c>
      <c r="D323" s="4"/>
      <c r="E323" s="4"/>
      <c r="F323" s="4"/>
      <c r="G323" s="4"/>
    </row>
    <row r="324" spans="1:7" ht="15.75" x14ac:dyDescent="0.3">
      <c r="A324" s="5" t="s">
        <v>629</v>
      </c>
      <c r="B324" s="5" t="str">
        <f>REPLACE(A324,1,9,"4843xxx")</f>
        <v>4843xxx</v>
      </c>
      <c r="C324" s="3" t="s">
        <v>630</v>
      </c>
      <c r="D324" s="4"/>
      <c r="E324" s="4"/>
      <c r="F324" s="4"/>
      <c r="G324" s="4"/>
    </row>
    <row r="325" spans="1:7" ht="15.75" x14ac:dyDescent="0.3">
      <c r="A325" s="5" t="s">
        <v>631</v>
      </c>
      <c r="B325" s="5" t="str">
        <f>REPLACE(A325,1,9,"4844xxx")</f>
        <v>4844xxx</v>
      </c>
      <c r="C325" s="3" t="s">
        <v>632</v>
      </c>
      <c r="D325" s="4"/>
      <c r="E325" s="4"/>
      <c r="F325" s="4"/>
      <c r="G325" s="4"/>
    </row>
    <row r="326" spans="1:7" ht="15.75" x14ac:dyDescent="0.3">
      <c r="A326" s="5" t="s">
        <v>633</v>
      </c>
      <c r="B326" s="5" t="str">
        <f>REPLACE(A326,1,9,"4845xxx")</f>
        <v>4845xxx</v>
      </c>
      <c r="C326" s="3" t="s">
        <v>634</v>
      </c>
      <c r="D326" s="4"/>
      <c r="E326" s="4"/>
      <c r="F326" s="4"/>
      <c r="G326" s="4"/>
    </row>
    <row r="327" spans="1:7" ht="15.75" x14ac:dyDescent="0.3">
      <c r="A327" s="5" t="s">
        <v>635</v>
      </c>
      <c r="B327" s="5" t="str">
        <f>REPLACE(A327,1,9,"4846xxx")</f>
        <v>4846xxx</v>
      </c>
      <c r="C327" s="3" t="s">
        <v>636</v>
      </c>
      <c r="D327" s="4"/>
      <c r="E327" s="4"/>
      <c r="F327" s="4"/>
      <c r="G327" s="4"/>
    </row>
    <row r="328" spans="1:7" ht="15.75" x14ac:dyDescent="0.3">
      <c r="A328" s="5" t="s">
        <v>637</v>
      </c>
      <c r="B328" s="5" t="str">
        <f>REPLACE(A328,1,9,"4847xxx")</f>
        <v>4847xxx</v>
      </c>
      <c r="C328" s="3" t="s">
        <v>638</v>
      </c>
      <c r="D328" s="4"/>
      <c r="E328" s="4"/>
      <c r="F328" s="4"/>
      <c r="G328" s="4"/>
    </row>
    <row r="329" spans="1:7" ht="15.75" x14ac:dyDescent="0.3">
      <c r="A329" s="5" t="s">
        <v>639</v>
      </c>
      <c r="B329" s="5" t="str">
        <f>REPLACE(A329,1,9,"4848xxx")</f>
        <v>4848xxx</v>
      </c>
      <c r="C329" s="3" t="s">
        <v>640</v>
      </c>
      <c r="D329" s="4"/>
      <c r="E329" s="4"/>
      <c r="F329" s="4"/>
      <c r="G329" s="4"/>
    </row>
    <row r="330" spans="1:7" ht="15.75" x14ac:dyDescent="0.3">
      <c r="A330" s="5" t="s">
        <v>641</v>
      </c>
      <c r="B330" s="5" t="str">
        <f>REPLACE(A330,1,9,"4849xxx")</f>
        <v>4849xxx</v>
      </c>
      <c r="C330" s="3" t="s">
        <v>30</v>
      </c>
      <c r="D330" s="4"/>
      <c r="E330" s="4"/>
      <c r="F330" s="4"/>
      <c r="G330" s="4"/>
    </row>
    <row r="331" spans="1:7" ht="15.75" x14ac:dyDescent="0.3">
      <c r="A331" s="5" t="s">
        <v>642</v>
      </c>
      <c r="B331" s="5" t="str">
        <f>REPLACE(A331,1,9,"4810xxx")</f>
        <v>4810xxx</v>
      </c>
      <c r="C331" s="3" t="s">
        <v>643</v>
      </c>
      <c r="D331" s="4"/>
      <c r="E331" s="4"/>
      <c r="F331" s="4"/>
      <c r="G331" s="4"/>
    </row>
    <row r="332" spans="1:7" ht="15.75" x14ac:dyDescent="0.3">
      <c r="A332" s="5" t="s">
        <v>644</v>
      </c>
      <c r="B332" s="5" t="str">
        <f>REPLACE(A332,1,9,"4811xxx")</f>
        <v>4811xxx</v>
      </c>
      <c r="C332" s="3" t="s">
        <v>645</v>
      </c>
      <c r="D332" s="4"/>
      <c r="E332" s="4"/>
      <c r="F332" s="4"/>
      <c r="G332" s="4"/>
    </row>
    <row r="333" spans="1:7" ht="15.75" x14ac:dyDescent="0.3">
      <c r="A333" s="5" t="s">
        <v>646</v>
      </c>
      <c r="B333" s="5" t="str">
        <f>REPLACE(A333,1,9,"4812xxx")</f>
        <v>4812xxx</v>
      </c>
      <c r="C333" s="3" t="s">
        <v>647</v>
      </c>
      <c r="D333" s="4"/>
      <c r="E333" s="4"/>
      <c r="F333" s="4"/>
      <c r="G333" s="4"/>
    </row>
    <row r="334" spans="1:7" ht="15.75" x14ac:dyDescent="0.3">
      <c r="A334" s="5" t="s">
        <v>648</v>
      </c>
      <c r="B334" s="5" t="str">
        <f>REPLACE(A334,1,9,"4813xxx")</f>
        <v>4813xxx</v>
      </c>
      <c r="C334" s="3" t="s">
        <v>649</v>
      </c>
      <c r="D334" s="4"/>
      <c r="E334" s="4"/>
      <c r="F334" s="4"/>
      <c r="G334" s="4"/>
    </row>
    <row r="335" spans="1:7" ht="15.75" x14ac:dyDescent="0.3">
      <c r="A335" s="5" t="s">
        <v>650</v>
      </c>
      <c r="B335" s="5" t="str">
        <f>REPLACE(A335,1,9,"4814xxx")</f>
        <v>4814xxx</v>
      </c>
      <c r="C335" s="3" t="s">
        <v>651</v>
      </c>
      <c r="D335" s="4"/>
      <c r="E335" s="4"/>
      <c r="F335" s="4"/>
      <c r="G335" s="4"/>
    </row>
    <row r="336" spans="1:7" ht="15.75" x14ac:dyDescent="0.3">
      <c r="A336" s="5" t="s">
        <v>652</v>
      </c>
      <c r="B336" s="5" t="str">
        <f>REPLACE(A336,1,9,"4815xxx")</f>
        <v>4815xxx</v>
      </c>
      <c r="C336" s="3" t="s">
        <v>31</v>
      </c>
      <c r="D336" s="4"/>
      <c r="E336" s="4"/>
      <c r="F336" s="4"/>
      <c r="G336" s="4"/>
    </row>
    <row r="337" spans="1:7" ht="15.75" x14ac:dyDescent="0.3">
      <c r="A337" s="5" t="s">
        <v>653</v>
      </c>
      <c r="B337" s="5" t="str">
        <f>REPLACE(A337,1,9,"6003xxx")</f>
        <v>6003xxx</v>
      </c>
      <c r="C337" s="3" t="s">
        <v>654</v>
      </c>
      <c r="D337" s="4"/>
      <c r="E337" s="4"/>
      <c r="F337" s="4"/>
      <c r="G337" s="4"/>
    </row>
    <row r="338" spans="1:7" ht="15.75" x14ac:dyDescent="0.3">
      <c r="A338" s="5" t="s">
        <v>655</v>
      </c>
      <c r="B338" s="5" t="str">
        <f>REPLACE(A338,1,9,"6010xxx")</f>
        <v>6010xxx</v>
      </c>
      <c r="C338" s="3" t="s">
        <v>656</v>
      </c>
      <c r="D338" s="4"/>
      <c r="E338" s="4"/>
      <c r="F338" s="4"/>
      <c r="G338" s="4"/>
    </row>
    <row r="339" spans="1:7" ht="15.75" x14ac:dyDescent="0.3">
      <c r="A339" s="5" t="s">
        <v>657</v>
      </c>
      <c r="B339" s="5" t="str">
        <f>REPLACE(A339,1,9,"6001xxx")</f>
        <v>6001xxx</v>
      </c>
      <c r="C339" s="3" t="s">
        <v>658</v>
      </c>
      <c r="D339" s="4"/>
      <c r="E339" s="4"/>
      <c r="F339" s="4"/>
      <c r="G339" s="4"/>
    </row>
    <row r="340" spans="1:7" ht="15.75" x14ac:dyDescent="0.3">
      <c r="A340" s="5" t="s">
        <v>659</v>
      </c>
      <c r="B340" s="5" t="str">
        <f>REPLACE(A340,1,9,"6002xxx")</f>
        <v>6002xxx</v>
      </c>
      <c r="C340" s="3" t="s">
        <v>660</v>
      </c>
      <c r="D340" s="4"/>
      <c r="E340" s="4"/>
      <c r="F340" s="4"/>
      <c r="G340" s="4"/>
    </row>
    <row r="341" spans="1:7" ht="15.75" x14ac:dyDescent="0.3">
      <c r="A341" s="5" t="s">
        <v>661</v>
      </c>
      <c r="B341" s="5" t="str">
        <f>REPLACE(A341,1,9,"6060xxx")</f>
        <v>6060xxx</v>
      </c>
      <c r="C341" s="3" t="s">
        <v>662</v>
      </c>
      <c r="D341" s="4"/>
      <c r="E341" s="4"/>
      <c r="F341" s="4"/>
      <c r="G341" s="4"/>
    </row>
    <row r="342" spans="1:7" ht="15.75" x14ac:dyDescent="0.3">
      <c r="A342" s="5" t="s">
        <v>663</v>
      </c>
      <c r="B342" s="5" t="str">
        <f>REPLACE(A342,1,9,"6061xxx")</f>
        <v>6061xxx</v>
      </c>
      <c r="C342" s="3" t="s">
        <v>662</v>
      </c>
      <c r="D342" s="4"/>
      <c r="E342" s="4"/>
      <c r="F342" s="4"/>
      <c r="G342" s="4"/>
    </row>
    <row r="343" spans="1:7" ht="15.75" x14ac:dyDescent="0.3">
      <c r="A343" s="5" t="s">
        <v>664</v>
      </c>
      <c r="B343" s="5" t="str">
        <f>REPLACE(A343,1,9,"6062xxx")</f>
        <v>6062xxx</v>
      </c>
      <c r="C343" s="3" t="s">
        <v>662</v>
      </c>
      <c r="D343" s="4"/>
      <c r="E343" s="4"/>
      <c r="F343" s="4"/>
      <c r="G343" s="4"/>
    </row>
    <row r="344" spans="1:7" ht="15.75" x14ac:dyDescent="0.3">
      <c r="A344" s="5" t="s">
        <v>665</v>
      </c>
      <c r="B344" s="5" t="str">
        <f>REPLACE(A344,1,9,"6063xxx")</f>
        <v>6063xxx</v>
      </c>
      <c r="C344" s="3" t="s">
        <v>666</v>
      </c>
      <c r="D344" s="4"/>
      <c r="E344" s="4"/>
      <c r="F344" s="4"/>
      <c r="G344" s="4"/>
    </row>
    <row r="345" spans="1:7" ht="15.75" x14ac:dyDescent="0.3">
      <c r="A345" s="5" t="s">
        <v>667</v>
      </c>
      <c r="B345" s="5" t="s">
        <v>2308</v>
      </c>
      <c r="C345" s="3" t="s">
        <v>668</v>
      </c>
      <c r="D345" s="4"/>
      <c r="E345" s="4"/>
      <c r="F345" s="4"/>
      <c r="G345" s="4"/>
    </row>
    <row r="346" spans="1:7" ht="15.75" x14ac:dyDescent="0.3">
      <c r="A346" s="5" t="s">
        <v>669</v>
      </c>
      <c r="B346" s="5" t="s">
        <v>2309</v>
      </c>
      <c r="C346" s="3" t="s">
        <v>33</v>
      </c>
      <c r="D346" s="4"/>
      <c r="E346" s="4"/>
      <c r="F346" s="4"/>
      <c r="G346" s="4"/>
    </row>
    <row r="347" spans="1:7" ht="15.75" x14ac:dyDescent="0.3">
      <c r="A347" s="5" t="s">
        <v>670</v>
      </c>
      <c r="B347" s="5" t="s">
        <v>2310</v>
      </c>
      <c r="C347" s="3" t="s">
        <v>34</v>
      </c>
      <c r="D347" s="4"/>
      <c r="E347" s="4"/>
      <c r="F347" s="4"/>
      <c r="G347" s="4"/>
    </row>
    <row r="348" spans="1:7" ht="15.75" x14ac:dyDescent="0.3">
      <c r="A348" s="5" t="s">
        <v>671</v>
      </c>
      <c r="B348" s="5" t="s">
        <v>2311</v>
      </c>
      <c r="C348" s="3" t="s">
        <v>35</v>
      </c>
      <c r="D348" s="4"/>
      <c r="E348" s="4"/>
      <c r="F348" s="4"/>
      <c r="G348" s="4"/>
    </row>
    <row r="349" spans="1:7" ht="15.75" x14ac:dyDescent="0.3">
      <c r="A349" s="5" t="s">
        <v>672</v>
      </c>
      <c r="B349" s="5" t="s">
        <v>2312</v>
      </c>
      <c r="C349" s="3" t="s">
        <v>36</v>
      </c>
      <c r="D349" s="4"/>
      <c r="E349" s="4"/>
      <c r="F349" s="4"/>
      <c r="G349" s="4"/>
    </row>
    <row r="350" spans="1:7" ht="15.75" x14ac:dyDescent="0.3">
      <c r="A350" s="5" t="s">
        <v>673</v>
      </c>
      <c r="B350" s="5" t="str">
        <f>REPLACE(A350,1,9,"5002xxx")</f>
        <v>5002xxx</v>
      </c>
      <c r="C350" s="3" t="s">
        <v>37</v>
      </c>
      <c r="D350" s="4"/>
      <c r="E350" s="4"/>
      <c r="F350" s="4"/>
      <c r="G350" s="4"/>
    </row>
    <row r="351" spans="1:7" ht="15.75" x14ac:dyDescent="0.3">
      <c r="A351" s="5" t="s">
        <v>674</v>
      </c>
      <c r="B351" s="5" t="str">
        <f>REPLACE(A351,1,9,"5061xxx")</f>
        <v>5061xxx</v>
      </c>
      <c r="C351" s="3" t="s">
        <v>38</v>
      </c>
      <c r="D351" s="4"/>
      <c r="E351" s="4"/>
      <c r="F351" s="4"/>
      <c r="G351" s="4"/>
    </row>
    <row r="352" spans="1:7" ht="15.75" x14ac:dyDescent="0.3">
      <c r="A352" s="5" t="s">
        <v>675</v>
      </c>
      <c r="B352" s="5" t="str">
        <f>REPLACE(A352,1,9,"5060xxx")</f>
        <v>5060xxx</v>
      </c>
      <c r="C352" s="3" t="s">
        <v>39</v>
      </c>
      <c r="D352" s="4"/>
      <c r="E352" s="4"/>
      <c r="F352" s="4"/>
      <c r="G352" s="4"/>
    </row>
    <row r="353" spans="1:7" ht="15.75" x14ac:dyDescent="0.3">
      <c r="A353" s="5" t="s">
        <v>676</v>
      </c>
      <c r="B353" s="5" t="str">
        <f>REPLACE(A353,1,9,"5001xxx")</f>
        <v>5001xxx</v>
      </c>
      <c r="C353" s="3" t="s">
        <v>40</v>
      </c>
      <c r="D353" s="4"/>
      <c r="E353" s="4"/>
      <c r="F353" s="4"/>
      <c r="G353" s="4"/>
    </row>
    <row r="354" spans="1:7" ht="15.75" x14ac:dyDescent="0.3">
      <c r="A354" s="5" t="s">
        <v>677</v>
      </c>
      <c r="B354" s="5" t="str">
        <f>REPLACE(A354,1,9,"5010xxx")</f>
        <v>5010xxx</v>
      </c>
      <c r="C354" s="3" t="s">
        <v>41</v>
      </c>
      <c r="D354" s="4"/>
      <c r="E354" s="4"/>
      <c r="F354" s="4"/>
      <c r="G354" s="4"/>
    </row>
    <row r="355" spans="1:7" ht="15.75" x14ac:dyDescent="0.3">
      <c r="A355" s="5" t="s">
        <v>678</v>
      </c>
      <c r="B355" s="5" t="str">
        <f>REPLACE(A355,1,9,"5160xxx")</f>
        <v>5160xxx</v>
      </c>
      <c r="C355" s="3" t="s">
        <v>679</v>
      </c>
      <c r="D355" s="4"/>
      <c r="E355" s="4"/>
      <c r="F355" s="4"/>
      <c r="G355" s="4"/>
    </row>
    <row r="356" spans="1:7" ht="15.75" x14ac:dyDescent="0.3">
      <c r="A356" s="5" t="s">
        <v>680</v>
      </c>
      <c r="B356" s="5" t="str">
        <f>REPLACE(A356,1,9,"5161xxx")</f>
        <v>5161xxx</v>
      </c>
      <c r="C356" s="3" t="s">
        <v>681</v>
      </c>
      <c r="D356" s="4"/>
      <c r="E356" s="4"/>
      <c r="F356" s="4"/>
      <c r="G356" s="4"/>
    </row>
    <row r="357" spans="1:7" ht="15.75" x14ac:dyDescent="0.3">
      <c r="A357" s="5" t="s">
        <v>682</v>
      </c>
      <c r="B357" s="5" t="str">
        <f>REPLACE(A357,1,9,"5101xxx")</f>
        <v>5101xxx</v>
      </c>
      <c r="C357" s="3" t="s">
        <v>683</v>
      </c>
      <c r="D357" s="4"/>
      <c r="E357" s="4"/>
      <c r="F357" s="4"/>
      <c r="G357" s="4"/>
    </row>
    <row r="358" spans="1:7" ht="15.75" x14ac:dyDescent="0.3">
      <c r="A358" s="5" t="s">
        <v>684</v>
      </c>
      <c r="B358" s="5" t="str">
        <f>REPLACE(A358,1,9,"5110xxx")</f>
        <v>5110xxx</v>
      </c>
      <c r="C358" s="3" t="s">
        <v>2</v>
      </c>
      <c r="D358" s="4"/>
      <c r="E358" s="4"/>
      <c r="F358" s="4"/>
      <c r="G358" s="4"/>
    </row>
    <row r="359" spans="1:7" ht="15.75" x14ac:dyDescent="0.3">
      <c r="A359" s="5" t="s">
        <v>685</v>
      </c>
      <c r="B359" s="5" t="str">
        <f>REPLACE(A359,1,9,"5102xxx")</f>
        <v>5102xxx</v>
      </c>
      <c r="C359" s="3" t="s">
        <v>42</v>
      </c>
      <c r="D359" s="4"/>
      <c r="E359" s="4"/>
      <c r="F359" s="4"/>
      <c r="G359" s="4"/>
    </row>
    <row r="360" spans="1:7" ht="15.75" x14ac:dyDescent="0.3">
      <c r="A360" s="5" t="s">
        <v>686</v>
      </c>
      <c r="B360" s="5" t="str">
        <f>REPLACE(A360,1,9,"5202xxx")</f>
        <v>5202xxx</v>
      </c>
      <c r="C360" s="3" t="s">
        <v>43</v>
      </c>
      <c r="D360" s="4"/>
      <c r="E360" s="4"/>
      <c r="F360" s="4"/>
      <c r="G360" s="4"/>
    </row>
    <row r="361" spans="1:7" ht="15.75" x14ac:dyDescent="0.3">
      <c r="A361" s="5" t="s">
        <v>687</v>
      </c>
      <c r="B361" s="5" t="str">
        <f>REPLACE(A361,1,9,"5260xxx")</f>
        <v>5260xxx</v>
      </c>
      <c r="C361" s="3" t="s">
        <v>44</v>
      </c>
      <c r="D361" s="4"/>
      <c r="E361" s="4"/>
      <c r="F361" s="4"/>
      <c r="G361" s="4"/>
    </row>
    <row r="362" spans="1:7" ht="15.75" x14ac:dyDescent="0.3">
      <c r="A362" s="5" t="s">
        <v>688</v>
      </c>
      <c r="B362" s="5" t="str">
        <f>REPLACE(A362,1,9,"5201xxx")</f>
        <v>5201xxx</v>
      </c>
      <c r="C362" s="3" t="s">
        <v>45</v>
      </c>
      <c r="D362" s="4"/>
      <c r="E362" s="4"/>
      <c r="F362" s="4"/>
      <c r="G362" s="4"/>
    </row>
    <row r="363" spans="1:7" ht="15.75" x14ac:dyDescent="0.3">
      <c r="A363" s="5" t="s">
        <v>689</v>
      </c>
      <c r="B363" s="5" t="str">
        <f>REPLACE(A363,1,9,"5210xxx")</f>
        <v>5210xxx</v>
      </c>
      <c r="C363" s="3" t="s">
        <v>690</v>
      </c>
      <c r="D363" s="4"/>
      <c r="E363" s="4"/>
      <c r="F363" s="4"/>
      <c r="G363" s="4"/>
    </row>
    <row r="364" spans="1:7" ht="15.75" x14ac:dyDescent="0.3">
      <c r="A364" s="5" t="s">
        <v>691</v>
      </c>
      <c r="B364" s="5" t="str">
        <f>REPLACE(A364,1,9,"5211xxx")</f>
        <v>5211xxx</v>
      </c>
      <c r="C364" s="3" t="s">
        <v>692</v>
      </c>
      <c r="D364" s="4"/>
      <c r="E364" s="4"/>
      <c r="F364" s="4"/>
      <c r="G364" s="4"/>
    </row>
    <row r="365" spans="1:7" ht="15.75" x14ac:dyDescent="0.3">
      <c r="A365" s="5" t="s">
        <v>693</v>
      </c>
      <c r="B365" s="5" t="str">
        <f>REPLACE(A365,1,9,"5212xxx")</f>
        <v>5212xxx</v>
      </c>
      <c r="C365" s="3" t="s">
        <v>694</v>
      </c>
      <c r="D365" s="4"/>
      <c r="E365" s="4"/>
      <c r="F365" s="4"/>
      <c r="G365" s="4"/>
    </row>
    <row r="366" spans="1:7" ht="15.75" x14ac:dyDescent="0.3">
      <c r="A366" s="5" t="s">
        <v>695</v>
      </c>
      <c r="B366" s="5" t="str">
        <f>REPLACE(A366,1,9,"5213xxx")</f>
        <v>5213xxx</v>
      </c>
      <c r="C366" s="3" t="s">
        <v>696</v>
      </c>
      <c r="D366" s="4"/>
      <c r="E366" s="4"/>
      <c r="F366" s="4"/>
      <c r="G366" s="4"/>
    </row>
    <row r="367" spans="1:7" ht="15.75" x14ac:dyDescent="0.3">
      <c r="A367" s="5" t="s">
        <v>697</v>
      </c>
      <c r="B367" s="5" t="str">
        <f>REPLACE(A367,1,9,"5214xxx")</f>
        <v>5214xxx</v>
      </c>
      <c r="C367" s="3" t="s">
        <v>698</v>
      </c>
      <c r="D367" s="4"/>
      <c r="E367" s="4"/>
      <c r="F367" s="4"/>
      <c r="G367" s="4"/>
    </row>
    <row r="368" spans="1:7" ht="15.75" x14ac:dyDescent="0.3">
      <c r="A368" s="5" t="s">
        <v>699</v>
      </c>
      <c r="B368" s="5" t="str">
        <f>REPLACE(A368,1,9,"5215xxx")</f>
        <v>5215xxx</v>
      </c>
      <c r="C368" s="3" t="s">
        <v>700</v>
      </c>
      <c r="D368" s="4"/>
      <c r="E368" s="4"/>
      <c r="F368" s="4"/>
      <c r="G368" s="4"/>
    </row>
    <row r="369" spans="1:7" ht="15.75" x14ac:dyDescent="0.3">
      <c r="A369" s="5" t="s">
        <v>701</v>
      </c>
      <c r="B369" s="5" t="str">
        <f>REPLACE(A369,1,9,"5216xxx")</f>
        <v>5216xxx</v>
      </c>
      <c r="C369" s="3" t="s">
        <v>702</v>
      </c>
      <c r="D369" s="4"/>
      <c r="E369" s="4"/>
      <c r="F369" s="4"/>
      <c r="G369" s="4"/>
    </row>
    <row r="370" spans="1:7" ht="15.75" x14ac:dyDescent="0.3">
      <c r="A370" s="5" t="s">
        <v>703</v>
      </c>
      <c r="B370" s="5" t="str">
        <f>REPLACE(A370,1,9,"5217xxx")</f>
        <v>5217xxx</v>
      </c>
      <c r="C370" s="3" t="s">
        <v>704</v>
      </c>
      <c r="D370" s="4"/>
      <c r="E370" s="4"/>
      <c r="F370" s="4"/>
      <c r="G370" s="4"/>
    </row>
    <row r="371" spans="1:7" ht="15.75" x14ac:dyDescent="0.3">
      <c r="A371" s="5" t="s">
        <v>705</v>
      </c>
      <c r="B371" s="5" t="str">
        <f>REPLACE(A371,1,9,"5218xxx")</f>
        <v>5218xxx</v>
      </c>
      <c r="C371" s="3" t="s">
        <v>706</v>
      </c>
      <c r="D371" s="4"/>
      <c r="E371" s="4"/>
      <c r="F371" s="4"/>
      <c r="G371" s="4"/>
    </row>
    <row r="372" spans="1:7" ht="15.75" x14ac:dyDescent="0.3">
      <c r="A372" s="5" t="s">
        <v>707</v>
      </c>
      <c r="B372" s="5" t="str">
        <f>REPLACE(A372,1,9,"5402xxx")</f>
        <v>5402xxx</v>
      </c>
      <c r="C372" s="3" t="s">
        <v>708</v>
      </c>
      <c r="D372" s="4"/>
      <c r="E372" s="4"/>
      <c r="F372" s="4"/>
      <c r="G372" s="4"/>
    </row>
    <row r="373" spans="1:7" ht="15.75" x14ac:dyDescent="0.3">
      <c r="A373" s="5" t="s">
        <v>709</v>
      </c>
      <c r="B373" s="5" t="str">
        <f>REPLACE(A373,1,9,"5403xxx")</f>
        <v>5403xxx</v>
      </c>
      <c r="C373" s="3" t="s">
        <v>710</v>
      </c>
      <c r="D373" s="4"/>
      <c r="E373" s="4"/>
      <c r="F373" s="4"/>
      <c r="G373" s="4"/>
    </row>
    <row r="374" spans="1:7" ht="15.75" x14ac:dyDescent="0.3">
      <c r="A374" s="5" t="s">
        <v>711</v>
      </c>
      <c r="B374" s="5" t="str">
        <f>REPLACE(A374,1,9,"5404xxx")</f>
        <v>5404xxx</v>
      </c>
      <c r="C374" s="3" t="s">
        <v>712</v>
      </c>
      <c r="D374" s="4"/>
      <c r="E374" s="4"/>
      <c r="F374" s="4"/>
      <c r="G374" s="4"/>
    </row>
    <row r="375" spans="1:7" ht="15.75" x14ac:dyDescent="0.3">
      <c r="A375" s="5" t="s">
        <v>713</v>
      </c>
      <c r="B375" s="5" t="str">
        <f>REPLACE(A375,1,9,"5405xxx")</f>
        <v>5405xxx</v>
      </c>
      <c r="C375" s="3" t="s">
        <v>714</v>
      </c>
      <c r="D375" s="4"/>
      <c r="E375" s="4"/>
      <c r="F375" s="4"/>
      <c r="G375" s="4"/>
    </row>
    <row r="376" spans="1:7" ht="15.75" x14ac:dyDescent="0.3">
      <c r="A376" s="5" t="s">
        <v>715</v>
      </c>
      <c r="B376" s="5" t="str">
        <f>REPLACE(A376,1,9,"5406xxx")</f>
        <v>5406xxx</v>
      </c>
      <c r="C376" s="3" t="s">
        <v>716</v>
      </c>
      <c r="D376" s="4"/>
      <c r="E376" s="4"/>
      <c r="F376" s="4"/>
      <c r="G376" s="4"/>
    </row>
    <row r="377" spans="1:7" ht="15.75" x14ac:dyDescent="0.3">
      <c r="A377" s="5" t="s">
        <v>717</v>
      </c>
      <c r="B377" s="5" t="str">
        <f>REPLACE(A377,1,9,"5460xxx")</f>
        <v>5460xxx</v>
      </c>
      <c r="C377" s="3" t="s">
        <v>718</v>
      </c>
      <c r="D377" s="4"/>
      <c r="E377" s="4"/>
      <c r="F377" s="4"/>
      <c r="G377" s="4"/>
    </row>
    <row r="378" spans="1:7" ht="15.75" x14ac:dyDescent="0.3">
      <c r="A378" s="5" t="s">
        <v>719</v>
      </c>
      <c r="B378" s="5" t="str">
        <f>REPLACE(A378,1,9,"5461xxx")</f>
        <v>5461xxx</v>
      </c>
      <c r="C378" s="3" t="s">
        <v>720</v>
      </c>
      <c r="D378" s="4"/>
      <c r="E378" s="4"/>
      <c r="F378" s="4"/>
      <c r="G378" s="4"/>
    </row>
    <row r="379" spans="1:7" ht="15.75" x14ac:dyDescent="0.3">
      <c r="A379" s="5" t="s">
        <v>721</v>
      </c>
      <c r="B379" s="5" t="str">
        <f>REPLACE(A379,1,9,"5401xxx")</f>
        <v>5401xxx</v>
      </c>
      <c r="C379" s="3" t="s">
        <v>722</v>
      </c>
      <c r="D379" s="4"/>
      <c r="E379" s="4"/>
      <c r="F379" s="4"/>
      <c r="G379" s="4"/>
    </row>
    <row r="380" spans="1:7" ht="15.75" x14ac:dyDescent="0.3">
      <c r="A380" s="5" t="s">
        <v>723</v>
      </c>
      <c r="B380" s="5" t="str">
        <f>REPLACE(A380,1,9,"5410xxx")</f>
        <v>5410xxx</v>
      </c>
      <c r="C380" s="3" t="s">
        <v>724</v>
      </c>
      <c r="D380" s="4"/>
      <c r="E380" s="4"/>
      <c r="F380" s="4"/>
      <c r="G380" s="4"/>
    </row>
    <row r="381" spans="1:7" ht="15.75" x14ac:dyDescent="0.3">
      <c r="A381" s="5" t="s">
        <v>725</v>
      </c>
      <c r="B381" s="5" t="str">
        <f>REPLACE(A381,1,9,"5502xxx")</f>
        <v>5502xxx</v>
      </c>
      <c r="C381" s="3" t="s">
        <v>726</v>
      </c>
      <c r="D381" s="4"/>
      <c r="E381" s="4"/>
      <c r="F381" s="4"/>
      <c r="G381" s="4"/>
    </row>
    <row r="382" spans="1:7" ht="15.75" x14ac:dyDescent="0.3">
      <c r="A382" s="5" t="s">
        <v>727</v>
      </c>
      <c r="B382" s="5" t="str">
        <f>REPLACE(A382,1,9,"5560xxx")</f>
        <v>5560xxx</v>
      </c>
      <c r="C382" s="3" t="s">
        <v>728</v>
      </c>
      <c r="D382" s="4"/>
      <c r="E382" s="4"/>
      <c r="F382" s="4"/>
      <c r="G382" s="4"/>
    </row>
    <row r="383" spans="1:7" ht="15.75" x14ac:dyDescent="0.3">
      <c r="A383" s="5" t="s">
        <v>729</v>
      </c>
      <c r="B383" s="5" t="str">
        <f>REPLACE(A383,1,9,"5501xxx")</f>
        <v>5501xxx</v>
      </c>
      <c r="C383" s="3" t="s">
        <v>46</v>
      </c>
      <c r="D383" s="4"/>
      <c r="E383" s="4"/>
      <c r="F383" s="4"/>
      <c r="G383" s="4"/>
    </row>
    <row r="384" spans="1:7" ht="15.75" x14ac:dyDescent="0.3">
      <c r="A384" s="5" t="s">
        <v>730</v>
      </c>
      <c r="B384" s="5" t="str">
        <f>REPLACE(A384,1,9,"5530xxx")</f>
        <v>5530xxx</v>
      </c>
      <c r="C384" s="3" t="s">
        <v>47</v>
      </c>
      <c r="D384" s="4"/>
      <c r="E384" s="4"/>
      <c r="F384" s="4"/>
      <c r="G384" s="4"/>
    </row>
    <row r="385" spans="1:7" ht="15.75" x14ac:dyDescent="0.3">
      <c r="A385" s="5" t="s">
        <v>731</v>
      </c>
      <c r="B385" s="5" t="str">
        <f>REPLACE(A385,1,9,"5510xxx")</f>
        <v>5510xxx</v>
      </c>
      <c r="C385" s="3" t="s">
        <v>732</v>
      </c>
      <c r="D385" s="4"/>
      <c r="E385" s="4"/>
      <c r="F385" s="4"/>
      <c r="G385" s="4"/>
    </row>
    <row r="386" spans="1:7" ht="15.75" x14ac:dyDescent="0.3">
      <c r="A386" s="5" t="s">
        <v>733</v>
      </c>
      <c r="B386" s="5" t="s">
        <v>2313</v>
      </c>
      <c r="C386" s="3" t="s">
        <v>734</v>
      </c>
      <c r="D386" s="4"/>
      <c r="E386" s="4"/>
      <c r="F386" s="4"/>
      <c r="G386" s="4"/>
    </row>
    <row r="387" spans="1:7" ht="15.75" x14ac:dyDescent="0.3">
      <c r="A387" s="5" t="s">
        <v>735</v>
      </c>
      <c r="B387" s="5" t="s">
        <v>2314</v>
      </c>
      <c r="C387" s="3" t="s">
        <v>736</v>
      </c>
      <c r="D387" s="4"/>
      <c r="E387" s="4"/>
      <c r="F387" s="4"/>
      <c r="G387" s="4"/>
    </row>
    <row r="388" spans="1:7" ht="15.75" x14ac:dyDescent="0.3">
      <c r="A388" s="5" t="s">
        <v>737</v>
      </c>
      <c r="B388" s="5" t="s">
        <v>2315</v>
      </c>
      <c r="C388" s="3" t="s">
        <v>738</v>
      </c>
      <c r="D388" s="4"/>
      <c r="E388" s="4"/>
      <c r="F388" s="4"/>
      <c r="G388" s="4"/>
    </row>
    <row r="389" spans="1:7" ht="15.75" x14ac:dyDescent="0.3">
      <c r="A389" s="5" t="s">
        <v>739</v>
      </c>
      <c r="B389" s="5" t="s">
        <v>2316</v>
      </c>
      <c r="C389" s="3" t="s">
        <v>740</v>
      </c>
      <c r="D389" s="4"/>
      <c r="E389" s="4"/>
      <c r="F389" s="4"/>
      <c r="G389" s="4"/>
    </row>
    <row r="390" spans="1:7" ht="15.75" x14ac:dyDescent="0.3">
      <c r="A390" s="5" t="s">
        <v>741</v>
      </c>
      <c r="B390" s="5" t="s">
        <v>2317</v>
      </c>
      <c r="C390" s="3" t="s">
        <v>742</v>
      </c>
      <c r="D390" s="4"/>
      <c r="E390" s="4"/>
      <c r="F390" s="4"/>
      <c r="G390" s="4"/>
    </row>
    <row r="391" spans="1:7" ht="15.75" x14ac:dyDescent="0.3">
      <c r="A391" s="5" t="s">
        <v>743</v>
      </c>
      <c r="B391" s="5" t="s">
        <v>2318</v>
      </c>
      <c r="C391" s="3" t="s">
        <v>744</v>
      </c>
      <c r="D391" s="4"/>
      <c r="E391" s="4"/>
      <c r="F391" s="4"/>
      <c r="G391" s="4"/>
    </row>
    <row r="392" spans="1:7" ht="15.75" x14ac:dyDescent="0.3">
      <c r="A392" s="5" t="s">
        <v>745</v>
      </c>
      <c r="B392" s="5" t="s">
        <v>2319</v>
      </c>
      <c r="C392" s="3" t="s">
        <v>48</v>
      </c>
      <c r="D392" s="4"/>
      <c r="E392" s="4"/>
      <c r="F392" s="4"/>
      <c r="G392" s="4"/>
    </row>
    <row r="393" spans="1:7" ht="15.75" x14ac:dyDescent="0.3">
      <c r="A393" s="5" t="s">
        <v>746</v>
      </c>
      <c r="B393" s="5" t="s">
        <v>2320</v>
      </c>
      <c r="C393" s="3" t="s">
        <v>747</v>
      </c>
      <c r="D393" s="4"/>
      <c r="E393" s="4"/>
      <c r="F393" s="4"/>
      <c r="G393" s="4"/>
    </row>
    <row r="394" spans="1:7" ht="15.75" x14ac:dyDescent="0.3">
      <c r="A394" s="5" t="s">
        <v>748</v>
      </c>
      <c r="B394" s="5" t="str">
        <f>REPLACE(A394,1,9,"5702xxx")</f>
        <v>5702xxx</v>
      </c>
      <c r="C394" s="3" t="s">
        <v>749</v>
      </c>
      <c r="D394" s="4"/>
      <c r="E394" s="4"/>
      <c r="F394" s="4"/>
      <c r="G394" s="4"/>
    </row>
    <row r="395" spans="1:7" ht="15.75" x14ac:dyDescent="0.3">
      <c r="A395" s="5" t="s">
        <v>750</v>
      </c>
      <c r="B395" s="5" t="str">
        <f>REPLACE(A395,1,9,"5703xxx")</f>
        <v>5703xxx</v>
      </c>
      <c r="C395" s="3" t="s">
        <v>751</v>
      </c>
      <c r="D395" s="4"/>
      <c r="E395" s="4"/>
      <c r="F395" s="4"/>
      <c r="G395" s="4"/>
    </row>
    <row r="396" spans="1:7" ht="15.75" x14ac:dyDescent="0.3">
      <c r="A396" s="5" t="s">
        <v>752</v>
      </c>
      <c r="B396" s="5" t="str">
        <f>REPLACE(A396,1,9,"5704xxx")</f>
        <v>5704xxx</v>
      </c>
      <c r="C396" s="3" t="s">
        <v>753</v>
      </c>
      <c r="D396" s="4"/>
      <c r="E396" s="4"/>
      <c r="F396" s="4"/>
      <c r="G396" s="4"/>
    </row>
    <row r="397" spans="1:7" ht="15.75" x14ac:dyDescent="0.3">
      <c r="A397" s="5" t="s">
        <v>754</v>
      </c>
      <c r="B397" s="5" t="str">
        <f>REPLACE(A397,1,9,"5705xxx")</f>
        <v>5705xxx</v>
      </c>
      <c r="C397" s="3" t="s">
        <v>755</v>
      </c>
      <c r="D397" s="4"/>
      <c r="E397" s="4"/>
      <c r="F397" s="4"/>
      <c r="G397" s="4"/>
    </row>
    <row r="398" spans="1:7" ht="15.75" x14ac:dyDescent="0.3">
      <c r="A398" s="5" t="s">
        <v>756</v>
      </c>
      <c r="B398" s="5" t="str">
        <f>REPLACE(A398,1,9,"5706xxx")</f>
        <v>5706xxx</v>
      </c>
      <c r="C398" s="3" t="s">
        <v>757</v>
      </c>
      <c r="D398" s="4"/>
      <c r="E398" s="4"/>
      <c r="F398" s="4"/>
      <c r="G398" s="4"/>
    </row>
    <row r="399" spans="1:7" ht="15.75" x14ac:dyDescent="0.3">
      <c r="A399" s="5" t="s">
        <v>758</v>
      </c>
      <c r="B399" s="5" t="str">
        <f>REPLACE(A399,1,9,"5707xxx")</f>
        <v>5707xxx</v>
      </c>
      <c r="C399" s="3" t="s">
        <v>759</v>
      </c>
      <c r="D399" s="4"/>
      <c r="E399" s="4"/>
      <c r="F399" s="4"/>
      <c r="G399" s="4"/>
    </row>
    <row r="400" spans="1:7" ht="15.75" x14ac:dyDescent="0.3">
      <c r="A400" s="5" t="s">
        <v>760</v>
      </c>
      <c r="B400" s="5" t="str">
        <f>REPLACE(A400,1,9,"5708xxx")</f>
        <v>5708xxx</v>
      </c>
      <c r="C400" s="3" t="s">
        <v>761</v>
      </c>
      <c r="D400" s="4"/>
      <c r="E400" s="4"/>
      <c r="F400" s="4"/>
      <c r="G400" s="4"/>
    </row>
    <row r="401" spans="1:7" ht="15.75" x14ac:dyDescent="0.3">
      <c r="A401" s="5" t="s">
        <v>762</v>
      </c>
      <c r="B401" s="5" t="str">
        <f>REPLACE(A401,1,9,"5701xxx")</f>
        <v>5701xxx</v>
      </c>
      <c r="C401" s="3" t="s">
        <v>49</v>
      </c>
      <c r="D401" s="4"/>
      <c r="E401" s="4"/>
      <c r="F401" s="4"/>
      <c r="G401" s="4"/>
    </row>
    <row r="402" spans="1:7" ht="15.75" x14ac:dyDescent="0.3">
      <c r="A402" s="5" t="s">
        <v>763</v>
      </c>
      <c r="B402" s="5" t="str">
        <f>REPLACE(A402,1,9,"5710xxx")</f>
        <v>5710xxx</v>
      </c>
      <c r="C402" s="3" t="s">
        <v>50</v>
      </c>
      <c r="D402" s="4"/>
      <c r="E402" s="4"/>
      <c r="F402" s="4"/>
      <c r="G402" s="4"/>
    </row>
    <row r="403" spans="1:7" ht="15.75" x14ac:dyDescent="0.3">
      <c r="A403" s="5" t="s">
        <v>764</v>
      </c>
      <c r="B403" s="5" t="str">
        <f>REPLACE(A403,1,9,"5711xxx")</f>
        <v>5711xxx</v>
      </c>
      <c r="C403" s="3" t="s">
        <v>765</v>
      </c>
      <c r="D403" s="4"/>
      <c r="E403" s="4"/>
      <c r="F403" s="4"/>
      <c r="G403" s="4"/>
    </row>
    <row r="404" spans="1:7" ht="15.75" x14ac:dyDescent="0.3">
      <c r="A404" t="s">
        <v>766</v>
      </c>
      <c r="B404" s="5" t="str">
        <f>REPLACE(A404,1,9,"5760xxx")</f>
        <v>5760xxx</v>
      </c>
      <c r="C404" s="3" t="s">
        <v>767</v>
      </c>
      <c r="D404" s="4"/>
      <c r="E404" s="4"/>
      <c r="F404" s="4"/>
      <c r="G404" s="4"/>
    </row>
    <row r="405" spans="1:7" ht="15.75" x14ac:dyDescent="0.3">
      <c r="A405" t="s">
        <v>768</v>
      </c>
      <c r="B405" s="5" t="str">
        <f>REPLACE(A405,1,9,"5761xxx")</f>
        <v>5761xxx</v>
      </c>
      <c r="C405" s="3" t="s">
        <v>769</v>
      </c>
      <c r="D405" s="4"/>
      <c r="E405" s="4"/>
      <c r="F405" s="4"/>
      <c r="G405" s="4"/>
    </row>
    <row r="406" spans="1:7" ht="15.75" x14ac:dyDescent="0.3">
      <c r="A406" t="s">
        <v>770</v>
      </c>
      <c r="B406" s="5" t="str">
        <f>REPLACE(A406,1,9,"5762xxx")</f>
        <v>5762xxx</v>
      </c>
      <c r="C406" s="3" t="s">
        <v>771</v>
      </c>
      <c r="D406" s="4"/>
      <c r="E406" s="4"/>
      <c r="F406" s="4"/>
      <c r="G406" s="4"/>
    </row>
    <row r="407" spans="1:7" ht="15.75" x14ac:dyDescent="0.3">
      <c r="A407" t="s">
        <v>772</v>
      </c>
      <c r="B407" s="5" t="str">
        <f>REPLACE(A407,1,9,"5763xxx")</f>
        <v>5763xxx</v>
      </c>
      <c r="C407" s="3" t="s">
        <v>773</v>
      </c>
      <c r="D407" s="4"/>
      <c r="E407" s="4"/>
      <c r="F407" s="4"/>
      <c r="G407" s="4"/>
    </row>
    <row r="408" spans="1:7" ht="15.75" x14ac:dyDescent="0.3">
      <c r="A408" t="s">
        <v>774</v>
      </c>
      <c r="B408" t="str">
        <f>REPLACE(A408,1,9,"7003xxx")</f>
        <v>7003xxx</v>
      </c>
      <c r="C408" s="3" t="s">
        <v>775</v>
      </c>
      <c r="D408" s="4"/>
      <c r="E408" s="4"/>
      <c r="F408" s="4"/>
      <c r="G408" s="4"/>
    </row>
    <row r="409" spans="1:7" ht="15.75" x14ac:dyDescent="0.3">
      <c r="A409" t="s">
        <v>776</v>
      </c>
      <c r="B409" t="str">
        <f>REPLACE(A409,1,9,"7003xxx")</f>
        <v>7003xxx</v>
      </c>
      <c r="C409" s="3" t="s">
        <v>3</v>
      </c>
      <c r="D409" s="4"/>
      <c r="E409" s="4"/>
      <c r="F409" s="4"/>
      <c r="G409" s="4"/>
    </row>
    <row r="410" spans="1:7" ht="15.75" x14ac:dyDescent="0.3">
      <c r="A410" t="s">
        <v>777</v>
      </c>
      <c r="B410" t="str">
        <f t="shared" ref="B410" si="0">REPLACE(A410,1,9,"7003xxx")</f>
        <v>7003xxx</v>
      </c>
      <c r="C410" s="3" t="s">
        <v>778</v>
      </c>
      <c r="D410" s="4"/>
      <c r="E410" s="4"/>
      <c r="F410" s="4"/>
      <c r="G410" s="4"/>
    </row>
    <row r="411" spans="1:7" ht="15.75" x14ac:dyDescent="0.3">
      <c r="A411" t="s">
        <v>779</v>
      </c>
      <c r="B411" t="str">
        <f>REPLACE(A411,1,9,"7006xxx")</f>
        <v>7006xxx</v>
      </c>
      <c r="C411" s="3" t="s">
        <v>4</v>
      </c>
      <c r="D411" s="4"/>
      <c r="E411" s="4"/>
      <c r="F411" s="4"/>
      <c r="G411" s="4"/>
    </row>
    <row r="412" spans="1:7" ht="15.75" x14ac:dyDescent="0.3">
      <c r="A412" t="s">
        <v>780</v>
      </c>
      <c r="B412" t="str">
        <f>REPLACE(A412,1,9,"7006xxx")</f>
        <v>7006xxx</v>
      </c>
      <c r="C412" s="3" t="s">
        <v>781</v>
      </c>
      <c r="D412" s="4"/>
      <c r="E412" s="4"/>
      <c r="F412" s="4"/>
      <c r="G412" s="4"/>
    </row>
    <row r="413" spans="1:7" ht="15.75" x14ac:dyDescent="0.3">
      <c r="A413" t="s">
        <v>782</v>
      </c>
      <c r="B413" t="str">
        <f>REPLACE(A413,1,9,"7006xxx")</f>
        <v>7006xxx</v>
      </c>
      <c r="C413" s="3" t="s">
        <v>783</v>
      </c>
      <c r="D413" s="4"/>
      <c r="E413" s="4"/>
      <c r="F413" s="4"/>
      <c r="G413" s="4"/>
    </row>
    <row r="414" spans="1:7" ht="15.75" x14ac:dyDescent="0.3">
      <c r="A414" t="s">
        <v>784</v>
      </c>
      <c r="B414" t="str">
        <f>REPLACE(A414,1,9,"7006xxx")</f>
        <v>7006xxx</v>
      </c>
      <c r="C414" s="3" t="s">
        <v>785</v>
      </c>
      <c r="D414" s="4"/>
      <c r="E414" s="4"/>
      <c r="F414" s="4"/>
      <c r="G414" s="4"/>
    </row>
    <row r="415" spans="1:7" ht="15.75" x14ac:dyDescent="0.3">
      <c r="A415" t="s">
        <v>786</v>
      </c>
      <c r="B415" t="str">
        <f>REPLACE(A415,1,9,"7007xxx")</f>
        <v>7007xxx</v>
      </c>
      <c r="C415" s="3" t="s">
        <v>787</v>
      </c>
      <c r="D415" s="4"/>
      <c r="E415" s="4"/>
      <c r="F415" s="4"/>
      <c r="G415" s="4"/>
    </row>
    <row r="416" spans="1:7" ht="15.75" x14ac:dyDescent="0.3">
      <c r="A416" t="s">
        <v>788</v>
      </c>
      <c r="B416" t="str">
        <f>REPLACE(A416,1,9,"7007xxx")</f>
        <v>7007xxx</v>
      </c>
      <c r="C416" s="3" t="s">
        <v>789</v>
      </c>
      <c r="D416" s="4"/>
      <c r="E416" s="4"/>
      <c r="F416" s="4"/>
      <c r="G416" s="4"/>
    </row>
    <row r="417" spans="1:7" ht="15.75" x14ac:dyDescent="0.3">
      <c r="A417" t="s">
        <v>790</v>
      </c>
      <c r="B417" t="str">
        <f>REPLACE(A417,1,9,"7007xxx")</f>
        <v>7007xxx</v>
      </c>
      <c r="C417" s="3" t="s">
        <v>791</v>
      </c>
      <c r="D417" s="4"/>
      <c r="E417" s="4"/>
      <c r="F417" s="4"/>
      <c r="G417" s="4"/>
    </row>
    <row r="418" spans="1:7" ht="15.75" x14ac:dyDescent="0.3">
      <c r="A418" t="s">
        <v>792</v>
      </c>
      <c r="B418" t="str">
        <f>REPLACE(A418,1,9,"7007xxx")</f>
        <v>7007xxx</v>
      </c>
      <c r="C418" s="3" t="s">
        <v>51</v>
      </c>
      <c r="D418" s="4"/>
      <c r="E418" s="4"/>
      <c r="F418" s="4"/>
      <c r="G418" s="4"/>
    </row>
    <row r="419" spans="1:7" ht="15.75" x14ac:dyDescent="0.3">
      <c r="A419" t="s">
        <v>793</v>
      </c>
      <c r="B419" t="str">
        <f>REPLACE(A419,1,9,"7008xxx")</f>
        <v>7008xxx</v>
      </c>
      <c r="C419" s="3" t="s">
        <v>794</v>
      </c>
      <c r="D419" s="4"/>
      <c r="E419" s="4"/>
      <c r="F419" s="4"/>
      <c r="G419" s="4"/>
    </row>
    <row r="420" spans="1:7" ht="15.75" x14ac:dyDescent="0.3">
      <c r="A420" t="s">
        <v>795</v>
      </c>
      <c r="B420" t="str">
        <f>REPLACE(A420,1,9,"7004xxx")</f>
        <v>7004xxx</v>
      </c>
      <c r="C420" s="3" t="s">
        <v>52</v>
      </c>
      <c r="D420" s="4"/>
      <c r="E420" s="4"/>
      <c r="F420" s="4"/>
      <c r="G420" s="4"/>
    </row>
    <row r="421" spans="1:7" ht="15.75" x14ac:dyDescent="0.3">
      <c r="A421" t="s">
        <v>796</v>
      </c>
      <c r="B421" t="str">
        <f>REPLACE(A421,1,9,"7004xxx")</f>
        <v>7004xxx</v>
      </c>
      <c r="C421" s="3" t="s">
        <v>797</v>
      </c>
      <c r="D421" s="4"/>
      <c r="E421" s="4"/>
      <c r="F421" s="4"/>
      <c r="G421" s="4"/>
    </row>
    <row r="422" spans="1:7" ht="15.75" x14ac:dyDescent="0.3">
      <c r="A422" t="s">
        <v>798</v>
      </c>
      <c r="B422" t="str">
        <f>REPLACE(A422,1,9,"7001xxx")</f>
        <v>7001xxx</v>
      </c>
      <c r="C422" s="3" t="s">
        <v>5</v>
      </c>
      <c r="D422" s="4"/>
      <c r="E422" s="4"/>
      <c r="F422" s="4"/>
      <c r="G422" s="4"/>
    </row>
    <row r="423" spans="1:7" ht="15.75" x14ac:dyDescent="0.3">
      <c r="A423" t="s">
        <v>799</v>
      </c>
      <c r="B423" t="str">
        <f>REPLACE(A423,1,9,"7099xxx")</f>
        <v>7099xxx</v>
      </c>
      <c r="C423" s="3" t="s">
        <v>53</v>
      </c>
      <c r="D423" s="4"/>
      <c r="E423" s="4"/>
      <c r="F423" s="4"/>
      <c r="G423" s="4"/>
    </row>
    <row r="424" spans="1:7" ht="15.75" x14ac:dyDescent="0.3">
      <c r="A424" t="s">
        <v>800</v>
      </c>
      <c r="B424" t="str">
        <f>REPLACE(A424,1,9,"7002xxx")</f>
        <v>7002xxx</v>
      </c>
      <c r="C424" s="3" t="s">
        <v>6</v>
      </c>
      <c r="D424" s="4"/>
      <c r="E424" s="4"/>
      <c r="F424" s="4"/>
      <c r="G424" s="4"/>
    </row>
    <row r="425" spans="1:7" ht="15.75" x14ac:dyDescent="0.3">
      <c r="A425" t="s">
        <v>801</v>
      </c>
      <c r="B425" t="str">
        <f>REPLACE(A425,1,9,"75011xx")</f>
        <v>75011xx</v>
      </c>
      <c r="C425" s="3" t="s">
        <v>54</v>
      </c>
      <c r="D425" s="4"/>
      <c r="E425" s="4"/>
      <c r="F425" s="4"/>
      <c r="G425" s="4"/>
    </row>
    <row r="426" spans="1:7" ht="15.75" x14ac:dyDescent="0.3">
      <c r="A426" t="s">
        <v>802</v>
      </c>
      <c r="B426" t="str">
        <f>REPLACE(A426,1,9,"75021xx")</f>
        <v>75021xx</v>
      </c>
      <c r="C426" s="3" t="s">
        <v>803</v>
      </c>
      <c r="D426" s="4"/>
      <c r="E426" s="4"/>
      <c r="F426" s="4"/>
      <c r="G426" s="4"/>
    </row>
    <row r="427" spans="1:7" ht="15.75" x14ac:dyDescent="0.3">
      <c r="A427" t="s">
        <v>804</v>
      </c>
      <c r="B427" t="str">
        <f>REPLACE(A427,1,9,"75032xx")</f>
        <v>75032xx</v>
      </c>
      <c r="C427" s="3" t="s">
        <v>805</v>
      </c>
      <c r="D427" s="4"/>
      <c r="E427" s="4"/>
      <c r="F427" s="4"/>
      <c r="G427" s="4"/>
    </row>
    <row r="428" spans="1:7" ht="15.75" x14ac:dyDescent="0.3">
      <c r="A428" t="s">
        <v>806</v>
      </c>
      <c r="B428" t="str">
        <f>REPLACE(A428,1,9,"75031xx")</f>
        <v>75031xx</v>
      </c>
      <c r="C428" s="3" t="s">
        <v>56</v>
      </c>
      <c r="D428" s="4"/>
      <c r="E428" s="4"/>
      <c r="F428" s="4"/>
      <c r="G428" s="4"/>
    </row>
    <row r="429" spans="1:7" ht="15.75" x14ac:dyDescent="0.3">
      <c r="A429" t="s">
        <v>807</v>
      </c>
      <c r="B429" t="str">
        <f>REPLACE(A429,1,9,"75041xx")</f>
        <v>75041xx</v>
      </c>
      <c r="C429" s="3" t="s">
        <v>57</v>
      </c>
      <c r="D429" s="4"/>
      <c r="E429" s="4"/>
      <c r="F429" s="4"/>
      <c r="G429" s="4"/>
    </row>
    <row r="430" spans="1:7" ht="15.75" x14ac:dyDescent="0.3">
      <c r="A430" t="s">
        <v>808</v>
      </c>
      <c r="B430" t="str">
        <f>REPLACE(A430,1,9,"75051xx")</f>
        <v>75051xx</v>
      </c>
      <c r="C430" s="3" t="s">
        <v>58</v>
      </c>
      <c r="D430" s="4"/>
      <c r="E430" s="4"/>
      <c r="F430" s="4"/>
      <c r="G430" s="4"/>
    </row>
    <row r="431" spans="1:7" ht="15.75" x14ac:dyDescent="0.3">
      <c r="A431" t="s">
        <v>809</v>
      </c>
      <c r="B431" t="str">
        <f>REPLACE(A431,1,9,"75062xx")</f>
        <v>75062xx</v>
      </c>
      <c r="C431" s="3" t="s">
        <v>810</v>
      </c>
      <c r="D431" s="4"/>
      <c r="E431" s="4"/>
      <c r="F431" s="4"/>
      <c r="G431" s="4"/>
    </row>
    <row r="432" spans="1:7" ht="15.75" x14ac:dyDescent="0.3">
      <c r="A432" t="s">
        <v>811</v>
      </c>
      <c r="B432" t="str">
        <f>REPLACE(A432,1,9,"75061xx")</f>
        <v>75061xx</v>
      </c>
      <c r="C432" s="3" t="s">
        <v>59</v>
      </c>
      <c r="D432" s="4"/>
      <c r="E432" s="4"/>
      <c r="F432" s="4"/>
      <c r="G432" s="4"/>
    </row>
    <row r="433" spans="1:7" ht="15.75" x14ac:dyDescent="0.3">
      <c r="A433" t="s">
        <v>812</v>
      </c>
      <c r="B433" t="str">
        <f>REPLACE(A433,1,9,"75071xx")</f>
        <v>75071xx</v>
      </c>
      <c r="C433" s="3" t="s">
        <v>60</v>
      </c>
      <c r="D433" s="4"/>
      <c r="E433" s="4"/>
      <c r="F433" s="4"/>
      <c r="G433" s="4"/>
    </row>
    <row r="434" spans="1:7" ht="15.75" x14ac:dyDescent="0.3">
      <c r="A434" t="s">
        <v>813</v>
      </c>
      <c r="B434" t="str">
        <f>REPLACE(A434,1,9,"75081xx")</f>
        <v>75081xx</v>
      </c>
      <c r="C434" s="3" t="s">
        <v>814</v>
      </c>
      <c r="D434" s="4"/>
      <c r="E434" s="4"/>
      <c r="F434" s="4"/>
      <c r="G434" s="4"/>
    </row>
    <row r="435" spans="1:7" ht="15.75" x14ac:dyDescent="0.3">
      <c r="A435" t="s">
        <v>815</v>
      </c>
      <c r="B435" t="str">
        <f>REPLACE(A435,1,9,"75091xx")</f>
        <v>75091xx</v>
      </c>
      <c r="C435" s="3" t="s">
        <v>62</v>
      </c>
      <c r="D435" s="4"/>
      <c r="E435" s="4"/>
      <c r="F435" s="4"/>
      <c r="G435" s="4"/>
    </row>
    <row r="436" spans="1:7" ht="15.75" x14ac:dyDescent="0.3">
      <c r="A436" t="s">
        <v>816</v>
      </c>
      <c r="B436" t="str">
        <f>REPLACE(A436,1,9,"75612xx")</f>
        <v>75612xx</v>
      </c>
      <c r="C436" s="3" t="s">
        <v>817</v>
      </c>
      <c r="D436" s="4"/>
      <c r="E436" s="4"/>
      <c r="F436" s="4"/>
      <c r="G436" s="4"/>
    </row>
    <row r="437" spans="1:7" ht="15.75" x14ac:dyDescent="0.3">
      <c r="A437" t="s">
        <v>818</v>
      </c>
      <c r="B437" t="str">
        <f>REPLACE(A437,1,9,"75611xx")</f>
        <v>75611xx</v>
      </c>
      <c r="C437" s="3" t="s">
        <v>819</v>
      </c>
      <c r="D437" s="4"/>
      <c r="E437" s="4"/>
      <c r="F437" s="4"/>
      <c r="G437" s="4"/>
    </row>
    <row r="438" spans="1:7" ht="15.75" x14ac:dyDescent="0.3">
      <c r="A438" t="s">
        <v>820</v>
      </c>
      <c r="B438" t="str">
        <f>REPLACE(A438,1,9,"75613xx")</f>
        <v>75613xx</v>
      </c>
      <c r="C438" s="3" t="s">
        <v>821</v>
      </c>
      <c r="D438" s="4"/>
      <c r="E438" s="4"/>
      <c r="F438" s="4"/>
      <c r="G438" s="4"/>
    </row>
    <row r="439" spans="1:7" ht="15.75" x14ac:dyDescent="0.3">
      <c r="A439" t="s">
        <v>822</v>
      </c>
      <c r="B439" t="str">
        <f>REPLACE(A439,1,9,"75622xx")</f>
        <v>75622xx</v>
      </c>
      <c r="C439" s="3" t="s">
        <v>823</v>
      </c>
      <c r="D439" s="4"/>
      <c r="E439" s="4"/>
      <c r="F439" s="4"/>
      <c r="G439" s="4"/>
    </row>
    <row r="440" spans="1:7" ht="15.75" x14ac:dyDescent="0.3">
      <c r="A440" t="s">
        <v>824</v>
      </c>
      <c r="B440" t="str">
        <f>REPLACE(A440,1,9,"75623xx")</f>
        <v>75623xx</v>
      </c>
      <c r="C440" s="3" t="s">
        <v>825</v>
      </c>
      <c r="D440" s="4"/>
      <c r="E440" s="4"/>
      <c r="F440" s="4"/>
      <c r="G440" s="4"/>
    </row>
    <row r="441" spans="1:7" ht="15.75" x14ac:dyDescent="0.3">
      <c r="A441" t="s">
        <v>826</v>
      </c>
      <c r="B441" t="str">
        <f>REPLACE(A441,1,9,"75621xx")</f>
        <v>75621xx</v>
      </c>
      <c r="C441" s="3" t="s">
        <v>827</v>
      </c>
      <c r="D441" s="4"/>
      <c r="E441" s="4"/>
      <c r="F441" s="4"/>
      <c r="G441" s="4"/>
    </row>
    <row r="442" spans="1:7" ht="15.75" x14ac:dyDescent="0.3">
      <c r="A442" t="s">
        <v>828</v>
      </c>
      <c r="B442" t="str">
        <f>REPLACE(A442,1,9,"75624xx")</f>
        <v>75624xx</v>
      </c>
      <c r="C442" s="3" t="s">
        <v>829</v>
      </c>
      <c r="D442" s="4"/>
      <c r="E442" s="4"/>
      <c r="F442" s="4"/>
      <c r="G442" s="4"/>
    </row>
    <row r="443" spans="1:7" ht="15.75" x14ac:dyDescent="0.3">
      <c r="A443" t="s">
        <v>830</v>
      </c>
      <c r="B443" t="str">
        <f>REPLACE(A443,1,9,"75632xx")</f>
        <v>75632xx</v>
      </c>
      <c r="C443" s="3" t="s">
        <v>831</v>
      </c>
      <c r="D443" s="4"/>
      <c r="E443" s="4"/>
      <c r="F443" s="4"/>
      <c r="G443" s="4"/>
    </row>
    <row r="444" spans="1:7" ht="15.75" x14ac:dyDescent="0.3">
      <c r="A444" t="s">
        <v>832</v>
      </c>
      <c r="B444" t="str">
        <f>REPLACE(A444,1,9,"75633xx")</f>
        <v>75633xx</v>
      </c>
      <c r="C444" s="3" t="s">
        <v>833</v>
      </c>
      <c r="D444" s="4"/>
      <c r="E444" s="4"/>
      <c r="F444" s="4"/>
      <c r="G444" s="4"/>
    </row>
    <row r="445" spans="1:7" ht="15.75" x14ac:dyDescent="0.3">
      <c r="A445" t="s">
        <v>834</v>
      </c>
      <c r="B445" t="str">
        <f>REPLACE(A445,1,9,"75631xx")</f>
        <v>75631xx</v>
      </c>
      <c r="C445" s="3" t="s">
        <v>835</v>
      </c>
      <c r="D445" s="4"/>
      <c r="E445" s="4"/>
      <c r="F445" s="4"/>
      <c r="G445" s="4"/>
    </row>
    <row r="446" spans="1:7" ht="15.75" x14ac:dyDescent="0.3">
      <c r="A446" t="s">
        <v>836</v>
      </c>
      <c r="B446" t="str">
        <f>REPLACE(A446,1,9,"75634xx")</f>
        <v>75634xx</v>
      </c>
      <c r="C446" s="3" t="s">
        <v>837</v>
      </c>
      <c r="D446" s="4"/>
      <c r="E446" s="4"/>
      <c r="F446" s="4"/>
      <c r="G446" s="4"/>
    </row>
    <row r="447" spans="1:7" ht="15.75" x14ac:dyDescent="0.3">
      <c r="A447" t="s">
        <v>838</v>
      </c>
      <c r="B447" t="str">
        <f>REPLACE(A447,1,9,"75642xx")</f>
        <v>75642xx</v>
      </c>
      <c r="C447" s="3" t="s">
        <v>839</v>
      </c>
      <c r="D447" s="4"/>
      <c r="E447" s="4"/>
      <c r="F447" s="4"/>
      <c r="G447" s="4"/>
    </row>
    <row r="448" spans="1:7" ht="15.75" x14ac:dyDescent="0.3">
      <c r="A448" t="s">
        <v>840</v>
      </c>
      <c r="B448" t="str">
        <f>REPLACE(A448,1,9,"75643xx")</f>
        <v>75643xx</v>
      </c>
      <c r="C448" s="3" t="s">
        <v>841</v>
      </c>
      <c r="D448" s="4"/>
      <c r="E448" s="4"/>
      <c r="F448" s="4"/>
      <c r="G448" s="4"/>
    </row>
    <row r="449" spans="1:7" ht="15.75" x14ac:dyDescent="0.3">
      <c r="A449" t="s">
        <v>842</v>
      </c>
      <c r="B449" t="str">
        <f>REPLACE(A449,1,9,"75641xx")</f>
        <v>75641xx</v>
      </c>
      <c r="C449" s="3" t="s">
        <v>843</v>
      </c>
      <c r="D449" s="4"/>
      <c r="E449" s="4"/>
      <c r="F449" s="4"/>
      <c r="G449" s="4"/>
    </row>
    <row r="450" spans="1:7" ht="15.75" x14ac:dyDescent="0.3">
      <c r="A450" t="s">
        <v>844</v>
      </c>
      <c r="B450" t="str">
        <f>REPLACE(A450,1,9,"75644xx")</f>
        <v>75644xx</v>
      </c>
      <c r="C450" s="3" t="s">
        <v>845</v>
      </c>
      <c r="D450" s="4"/>
      <c r="E450" s="4"/>
      <c r="F450" s="4"/>
      <c r="G450" s="4"/>
    </row>
    <row r="451" spans="1:7" ht="15.75" x14ac:dyDescent="0.3">
      <c r="A451" t="s">
        <v>846</v>
      </c>
      <c r="B451" t="str">
        <f>REPLACE(A451,1,9,"75645xx")</f>
        <v>75645xx</v>
      </c>
      <c r="C451" s="3" t="s">
        <v>847</v>
      </c>
      <c r="D451" s="4"/>
      <c r="E451" s="4"/>
      <c r="F451" s="4"/>
      <c r="G451" s="4"/>
    </row>
    <row r="452" spans="1:7" ht="15.75" x14ac:dyDescent="0.3">
      <c r="A452" t="s">
        <v>848</v>
      </c>
      <c r="B452" t="str">
        <f>REPLACE(A452,1,9,"75646xx")</f>
        <v>75646xx</v>
      </c>
      <c r="C452" s="3" t="s">
        <v>849</v>
      </c>
      <c r="D452" s="4"/>
      <c r="E452" s="4"/>
      <c r="F452" s="4"/>
      <c r="G452" s="4"/>
    </row>
    <row r="453" spans="1:7" ht="15.75" x14ac:dyDescent="0.3">
      <c r="A453" t="s">
        <v>850</v>
      </c>
      <c r="B453" t="str">
        <f>REPLACE(A453,1,9,"75652xx")</f>
        <v>75652xx</v>
      </c>
      <c r="C453" s="3" t="s">
        <v>851</v>
      </c>
      <c r="D453" s="4"/>
      <c r="E453" s="4"/>
      <c r="F453" s="4"/>
      <c r="G453" s="4"/>
    </row>
    <row r="454" spans="1:7" ht="15.75" x14ac:dyDescent="0.3">
      <c r="A454" t="s">
        <v>852</v>
      </c>
      <c r="B454" t="str">
        <f>REPLACE(A454,1,9,"75653xx")</f>
        <v>75653xx</v>
      </c>
      <c r="C454" s="3" t="s">
        <v>853</v>
      </c>
      <c r="D454" s="4"/>
      <c r="E454" s="4"/>
      <c r="F454" s="4"/>
      <c r="G454" s="4"/>
    </row>
    <row r="455" spans="1:7" ht="15.75" x14ac:dyDescent="0.3">
      <c r="A455" t="s">
        <v>854</v>
      </c>
      <c r="B455" t="str">
        <f>REPLACE(A455,1,9,"75651xx")</f>
        <v>75651xx</v>
      </c>
      <c r="C455" s="3" t="s">
        <v>855</v>
      </c>
      <c r="D455" s="4"/>
      <c r="E455" s="4"/>
      <c r="F455" s="4"/>
      <c r="G455" s="4"/>
    </row>
    <row r="456" spans="1:7" ht="15.75" x14ac:dyDescent="0.3">
      <c r="A456" t="s">
        <v>856</v>
      </c>
      <c r="B456" t="str">
        <f>REPLACE(A456,1,9,"75654xx")</f>
        <v>75654xx</v>
      </c>
      <c r="C456" s="3" t="s">
        <v>857</v>
      </c>
      <c r="D456" s="4"/>
      <c r="E456" s="4"/>
      <c r="F456" s="4"/>
      <c r="G456" s="4"/>
    </row>
    <row r="457" spans="1:7" ht="15.75" x14ac:dyDescent="0.3">
      <c r="A457" t="s">
        <v>858</v>
      </c>
      <c r="B457" t="str">
        <f>REPLACE(A457,1,9,"75662xx")</f>
        <v>75662xx</v>
      </c>
      <c r="C457" s="3" t="s">
        <v>859</v>
      </c>
      <c r="D457" s="4"/>
      <c r="E457" s="4"/>
      <c r="F457" s="4"/>
      <c r="G457" s="4"/>
    </row>
    <row r="458" spans="1:7" ht="15.75" x14ac:dyDescent="0.3">
      <c r="A458" t="s">
        <v>860</v>
      </c>
      <c r="B458" t="str">
        <f>REPLACE(A458,1,9,"75665xx")</f>
        <v>75665xx</v>
      </c>
      <c r="C458" s="3" t="s">
        <v>861</v>
      </c>
      <c r="D458" s="4"/>
      <c r="E458" s="4"/>
      <c r="F458" s="4"/>
      <c r="G458" s="4"/>
    </row>
    <row r="459" spans="1:7" ht="15.75" x14ac:dyDescent="0.3">
      <c r="A459" t="s">
        <v>862</v>
      </c>
      <c r="B459" t="str">
        <f>REPLACE(A459,1,9,"75663xx")</f>
        <v>75663xx</v>
      </c>
      <c r="C459" s="3" t="s">
        <v>863</v>
      </c>
      <c r="D459" s="4"/>
      <c r="E459" s="4"/>
      <c r="F459" s="4"/>
      <c r="G459" s="4"/>
    </row>
    <row r="460" spans="1:7" ht="15.75" x14ac:dyDescent="0.3">
      <c r="A460" t="s">
        <v>864</v>
      </c>
      <c r="B460" t="str">
        <f>REPLACE(A460,1,9,"75661xx")</f>
        <v>75661xx</v>
      </c>
      <c r="C460" s="3" t="s">
        <v>865</v>
      </c>
      <c r="D460" s="4"/>
      <c r="E460" s="4"/>
      <c r="F460" s="4"/>
      <c r="G460" s="4"/>
    </row>
    <row r="461" spans="1:7" ht="15.75" x14ac:dyDescent="0.3">
      <c r="A461" t="s">
        <v>866</v>
      </c>
      <c r="B461" t="str">
        <f>REPLACE(A461,1,9,"75664xx")</f>
        <v>75664xx</v>
      </c>
      <c r="C461" s="3" t="s">
        <v>867</v>
      </c>
      <c r="D461" s="4"/>
      <c r="E461" s="4"/>
      <c r="F461" s="4"/>
      <c r="G461" s="4"/>
    </row>
    <row r="462" spans="1:7" ht="15.75" x14ac:dyDescent="0.3">
      <c r="A462" t="s">
        <v>868</v>
      </c>
      <c r="B462" t="str">
        <f>REPLACE(A462,1,9,"75672xx")</f>
        <v>75672xx</v>
      </c>
      <c r="C462" s="3" t="s">
        <v>869</v>
      </c>
      <c r="D462" s="4"/>
      <c r="E462" s="4"/>
      <c r="F462" s="4"/>
      <c r="G462" s="4"/>
    </row>
    <row r="463" spans="1:7" ht="15.75" x14ac:dyDescent="0.3">
      <c r="A463" t="s">
        <v>870</v>
      </c>
      <c r="B463" t="str">
        <f>REPLACE(A463,1,9,"75671xx")</f>
        <v>75671xx</v>
      </c>
      <c r="C463" s="3" t="s">
        <v>871</v>
      </c>
      <c r="D463" s="4"/>
      <c r="E463" s="4"/>
      <c r="F463" s="4"/>
      <c r="G463" s="4"/>
    </row>
    <row r="464" spans="1:7" ht="15.75" x14ac:dyDescent="0.3">
      <c r="A464" t="s">
        <v>872</v>
      </c>
      <c r="B464" t="str">
        <f>REPLACE(A464,1,9,"75673xx")</f>
        <v>75673xx</v>
      </c>
      <c r="C464" s="3" t="s">
        <v>873</v>
      </c>
      <c r="D464" s="4"/>
      <c r="E464" s="4"/>
      <c r="F464" s="4"/>
      <c r="G464" s="4"/>
    </row>
    <row r="465" spans="1:7" ht="15.75" x14ac:dyDescent="0.3">
      <c r="A465" t="s">
        <v>874</v>
      </c>
      <c r="B465" t="str">
        <f>REPLACE(A465,1,9,"75102xx")</f>
        <v>75102xx</v>
      </c>
      <c r="C465" s="3" t="s">
        <v>875</v>
      </c>
      <c r="D465" s="4"/>
      <c r="E465" s="4"/>
      <c r="F465" s="4"/>
      <c r="G465" s="4"/>
    </row>
    <row r="466" spans="1:7" ht="15.75" x14ac:dyDescent="0.3">
      <c r="A466" t="s">
        <v>876</v>
      </c>
      <c r="B466" t="str">
        <f>REPLACE(A466,1,9,"75103xx")</f>
        <v>75103xx</v>
      </c>
      <c r="C466" s="3" t="s">
        <v>877</v>
      </c>
      <c r="D466" s="4"/>
      <c r="E466" s="4"/>
      <c r="F466" s="4"/>
      <c r="G466" s="4"/>
    </row>
    <row r="467" spans="1:7" ht="15.75" x14ac:dyDescent="0.3">
      <c r="A467" t="s">
        <v>878</v>
      </c>
      <c r="B467" t="str">
        <f>REPLACE(A467,1,9,"75104xx")</f>
        <v>75104xx</v>
      </c>
      <c r="C467" s="3" t="s">
        <v>879</v>
      </c>
      <c r="D467" s="4"/>
      <c r="E467" s="4"/>
      <c r="F467" s="4"/>
      <c r="G467" s="4"/>
    </row>
    <row r="468" spans="1:7" ht="15.75" x14ac:dyDescent="0.3">
      <c r="A468" t="s">
        <v>880</v>
      </c>
      <c r="B468" t="str">
        <f>REPLACE(A468,1,9,"75101xx")</f>
        <v>75101xx</v>
      </c>
      <c r="C468" s="3" t="s">
        <v>881</v>
      </c>
      <c r="D468" s="4"/>
      <c r="E468" s="4"/>
      <c r="F468" s="4"/>
      <c r="G468" s="4"/>
    </row>
    <row r="469" spans="1:7" ht="15.75" x14ac:dyDescent="0.3">
      <c r="A469" t="s">
        <v>882</v>
      </c>
      <c r="B469" t="str">
        <f>REPLACE(A469,1,9,"75105xx")</f>
        <v>75105xx</v>
      </c>
      <c r="C469" s="3" t="s">
        <v>883</v>
      </c>
      <c r="D469" s="4"/>
      <c r="E469" s="4"/>
      <c r="F469" s="4"/>
      <c r="G469" s="4"/>
    </row>
    <row r="470" spans="1:7" ht="15.75" x14ac:dyDescent="0.3">
      <c r="A470" t="s">
        <v>884</v>
      </c>
      <c r="B470" t="str">
        <f>REPLACE(A470,1,9,"75122xx")</f>
        <v>75122xx</v>
      </c>
      <c r="C470" s="3" t="s">
        <v>885</v>
      </c>
      <c r="D470" s="4"/>
      <c r="E470" s="4"/>
      <c r="F470" s="4"/>
      <c r="G470" s="4"/>
    </row>
    <row r="471" spans="1:7" ht="15.75" x14ac:dyDescent="0.3">
      <c r="A471" t="s">
        <v>886</v>
      </c>
      <c r="B471" t="str">
        <f>REPLACE(A471,1,9,"75123xx")</f>
        <v>75123xx</v>
      </c>
      <c r="C471" s="3" t="s">
        <v>887</v>
      </c>
      <c r="D471" s="4"/>
      <c r="E471" s="4"/>
      <c r="F471" s="4"/>
      <c r="G471" s="4"/>
    </row>
    <row r="472" spans="1:7" ht="15.75" x14ac:dyDescent="0.3">
      <c r="A472" t="s">
        <v>888</v>
      </c>
      <c r="B472" t="str">
        <f>REPLACE(A472,1,9,"75124xx")</f>
        <v>75124xx</v>
      </c>
      <c r="C472" s="3" t="s">
        <v>889</v>
      </c>
      <c r="D472" s="4"/>
      <c r="E472" s="4"/>
      <c r="F472" s="4"/>
      <c r="G472" s="4"/>
    </row>
    <row r="473" spans="1:7" ht="15.75" x14ac:dyDescent="0.3">
      <c r="A473" t="s">
        <v>890</v>
      </c>
      <c r="B473" t="str">
        <f>REPLACE(A473,1,9,"75121xx")</f>
        <v>75121xx</v>
      </c>
      <c r="C473" s="3" t="s">
        <v>891</v>
      </c>
      <c r="D473" s="4"/>
      <c r="E473" s="4"/>
      <c r="F473" s="4"/>
      <c r="G473" s="4"/>
    </row>
    <row r="474" spans="1:7" ht="15.75" x14ac:dyDescent="0.3">
      <c r="A474" t="s">
        <v>892</v>
      </c>
      <c r="B474" t="str">
        <f>REPLACE(A474,1,9,"75125xx")</f>
        <v>75125xx</v>
      </c>
      <c r="C474" s="3" t="s">
        <v>893</v>
      </c>
      <c r="D474" s="4"/>
      <c r="E474" s="4"/>
      <c r="F474" s="4"/>
      <c r="G474" s="4"/>
    </row>
    <row r="475" spans="1:7" ht="15.75" x14ac:dyDescent="0.3">
      <c r="A475" t="s">
        <v>894</v>
      </c>
      <c r="B475" t="str">
        <f>REPLACE(A475,1,9,"75142xx")</f>
        <v>75142xx</v>
      </c>
      <c r="C475" s="3" t="s">
        <v>895</v>
      </c>
      <c r="D475" s="4"/>
      <c r="E475" s="4"/>
      <c r="F475" s="4"/>
      <c r="G475" s="4"/>
    </row>
    <row r="476" spans="1:7" ht="15.75" x14ac:dyDescent="0.3">
      <c r="A476" t="s">
        <v>896</v>
      </c>
      <c r="B476" t="str">
        <f>REPLACE(A476,1,9,"75143xx")</f>
        <v>75143xx</v>
      </c>
      <c r="C476" s="3" t="s">
        <v>897</v>
      </c>
      <c r="D476" s="4"/>
      <c r="E476" s="4"/>
      <c r="F476" s="4"/>
      <c r="G476" s="4"/>
    </row>
    <row r="477" spans="1:7" ht="15.75" x14ac:dyDescent="0.3">
      <c r="A477" t="s">
        <v>898</v>
      </c>
      <c r="B477" t="str">
        <f>REPLACE(A477,1,9,"75141xx")</f>
        <v>75141xx</v>
      </c>
      <c r="C477" s="3" t="s">
        <v>899</v>
      </c>
      <c r="D477" s="4"/>
      <c r="E477" s="4"/>
      <c r="F477" s="4"/>
      <c r="G477" s="4"/>
    </row>
    <row r="478" spans="1:7" ht="15.75" x14ac:dyDescent="0.3">
      <c r="A478" t="s">
        <v>900</v>
      </c>
      <c r="B478" t="str">
        <f>REPLACE(A478,1,9,"75144xx")</f>
        <v>75144xx</v>
      </c>
      <c r="C478" s="3" t="s">
        <v>901</v>
      </c>
      <c r="D478" s="4"/>
      <c r="E478" s="4"/>
      <c r="F478" s="4"/>
      <c r="G478" s="4"/>
    </row>
    <row r="479" spans="1:7" ht="15.75" x14ac:dyDescent="0.3">
      <c r="A479" t="s">
        <v>902</v>
      </c>
      <c r="B479" t="str">
        <f>REPLACE(A479,1,9,"75201xx")</f>
        <v>75201xx</v>
      </c>
      <c r="C479" s="3" t="s">
        <v>903</v>
      </c>
      <c r="D479" s="4"/>
      <c r="E479" s="4"/>
      <c r="F479" s="4"/>
      <c r="G479" s="4"/>
    </row>
    <row r="480" spans="1:7" ht="15.75" x14ac:dyDescent="0.3">
      <c r="A480" t="s">
        <v>904</v>
      </c>
      <c r="B480" t="str">
        <f>REPLACE(A480,1,9,"75198xx")</f>
        <v>75198xx</v>
      </c>
      <c r="C480" s="3" t="s">
        <v>905</v>
      </c>
      <c r="D480" s="4"/>
      <c r="E480" s="4"/>
      <c r="F480" s="4"/>
      <c r="G480" s="4"/>
    </row>
    <row r="481" spans="1:7" ht="15.75" x14ac:dyDescent="0.3">
      <c r="A481" t="s">
        <v>906</v>
      </c>
      <c r="B481" t="str">
        <f>REPLACE(A481,1,9,"75189xx")</f>
        <v>75189xx</v>
      </c>
      <c r="C481" s="3" t="s">
        <v>907</v>
      </c>
      <c r="D481" s="4"/>
      <c r="E481" s="4"/>
      <c r="F481" s="4"/>
      <c r="G481" s="4"/>
    </row>
    <row r="482" spans="1:7" ht="15.75" x14ac:dyDescent="0.3">
      <c r="A482" t="s">
        <v>908</v>
      </c>
      <c r="B482" t="str">
        <f>REPLACE(A482,1,9,"75183xx")</f>
        <v>75183xx</v>
      </c>
      <c r="C482" s="3" t="s">
        <v>909</v>
      </c>
      <c r="D482" s="4"/>
      <c r="E482" s="4"/>
      <c r="F482" s="4"/>
      <c r="G482" s="4"/>
    </row>
    <row r="483" spans="1:7" ht="15.75" x14ac:dyDescent="0.3">
      <c r="A483" t="s">
        <v>910</v>
      </c>
      <c r="B483" t="str">
        <f>REPLACE(A483,1,9,"75184xx")</f>
        <v>75184xx</v>
      </c>
      <c r="C483" s="3" t="s">
        <v>911</v>
      </c>
      <c r="D483" s="4"/>
      <c r="E483" s="4"/>
      <c r="F483" s="4"/>
      <c r="G483" s="4"/>
    </row>
    <row r="484" spans="1:7" ht="15.75" x14ac:dyDescent="0.3">
      <c r="A484" t="s">
        <v>912</v>
      </c>
      <c r="B484" t="str">
        <f>REPLACE(A484,1,9,"75182xx")</f>
        <v>75182xx</v>
      </c>
      <c r="C484" s="3" t="s">
        <v>913</v>
      </c>
      <c r="D484" s="4"/>
      <c r="E484" s="4"/>
      <c r="F484" s="4"/>
      <c r="G484" s="4"/>
    </row>
    <row r="485" spans="1:7" ht="15.75" x14ac:dyDescent="0.3">
      <c r="A485" t="s">
        <v>914</v>
      </c>
      <c r="B485" t="str">
        <f>REPLACE(A485,1,9,"75187xx")</f>
        <v>75187xx</v>
      </c>
      <c r="C485" s="3" t="s">
        <v>915</v>
      </c>
      <c r="D485" s="4"/>
      <c r="E485" s="4"/>
      <c r="F485" s="4"/>
      <c r="G485" s="4"/>
    </row>
    <row r="486" spans="1:7" ht="15.75" x14ac:dyDescent="0.3">
      <c r="A486" t="s">
        <v>916</v>
      </c>
      <c r="B486" t="str">
        <f>REPLACE(A486,1,9,"75205xx")</f>
        <v>75205xx</v>
      </c>
      <c r="C486" s="3" t="s">
        <v>917</v>
      </c>
      <c r="D486" s="4"/>
      <c r="E486" s="4"/>
      <c r="F486" s="4"/>
      <c r="G486" s="4"/>
    </row>
    <row r="487" spans="1:7" ht="15.75" x14ac:dyDescent="0.3">
      <c r="A487" t="s">
        <v>918</v>
      </c>
      <c r="B487" t="str">
        <f>REPLACE(A487,1,9,"75203xx")</f>
        <v>75203xx</v>
      </c>
      <c r="C487" s="3" t="s">
        <v>919</v>
      </c>
      <c r="D487" s="4"/>
      <c r="E487" s="4"/>
      <c r="F487" s="4"/>
      <c r="G487" s="4"/>
    </row>
    <row r="488" spans="1:7" ht="15.75" x14ac:dyDescent="0.3">
      <c r="A488" t="s">
        <v>920</v>
      </c>
      <c r="B488" t="str">
        <f>REPLACE(A488,1,9,"75185xx")</f>
        <v>75185xx</v>
      </c>
      <c r="C488" s="3" t="s">
        <v>921</v>
      </c>
      <c r="D488" s="4"/>
      <c r="E488" s="4"/>
      <c r="F488" s="4"/>
      <c r="G488" s="4"/>
    </row>
    <row r="489" spans="1:7" ht="15.75" x14ac:dyDescent="0.3">
      <c r="A489" t="s">
        <v>922</v>
      </c>
      <c r="B489" t="str">
        <f>REPLACE(A489,1,9,"75204xx")</f>
        <v>75204xx</v>
      </c>
      <c r="C489" s="3" t="s">
        <v>923</v>
      </c>
      <c r="D489" s="4"/>
      <c r="E489" s="4"/>
      <c r="F489" s="4"/>
      <c r="G489" s="4"/>
    </row>
    <row r="490" spans="1:7" ht="15.75" x14ac:dyDescent="0.3">
      <c r="A490" t="s">
        <v>924</v>
      </c>
      <c r="B490" t="str">
        <f>REPLACE(A490,1,9,"75181xx")</f>
        <v>75181xx</v>
      </c>
      <c r="C490" s="3" t="s">
        <v>925</v>
      </c>
      <c r="D490" s="4"/>
      <c r="E490" s="4"/>
      <c r="F490" s="4"/>
      <c r="G490" s="4"/>
    </row>
    <row r="491" spans="1:7" ht="15.75" x14ac:dyDescent="0.3">
      <c r="A491" t="s">
        <v>926</v>
      </c>
      <c r="B491" t="str">
        <f>REPLACE(A491,1,9,"75188xx")</f>
        <v>75188xx</v>
      </c>
      <c r="C491" s="3" t="s">
        <v>927</v>
      </c>
      <c r="D491" s="4"/>
      <c r="E491" s="4"/>
      <c r="F491" s="4"/>
      <c r="G491" s="4"/>
    </row>
    <row r="492" spans="1:7" ht="15.75" x14ac:dyDescent="0.3">
      <c r="A492" t="s">
        <v>928</v>
      </c>
      <c r="B492" t="str">
        <f>REPLACE(A492,1,9,"75199xx")</f>
        <v>75199xx</v>
      </c>
      <c r="C492" s="3" t="s">
        <v>929</v>
      </c>
      <c r="D492" s="4"/>
      <c r="E492" s="4"/>
      <c r="F492" s="4"/>
      <c r="G492" s="4"/>
    </row>
    <row r="493" spans="1:7" ht="15.75" x14ac:dyDescent="0.3">
      <c r="A493" t="s">
        <v>930</v>
      </c>
      <c r="B493" t="str">
        <f>REPLACE(A493,1,9,"75195xx")</f>
        <v>75195xx</v>
      </c>
      <c r="C493" s="3" t="s">
        <v>931</v>
      </c>
      <c r="D493" s="4"/>
      <c r="E493" s="4"/>
      <c r="F493" s="4"/>
      <c r="G493" s="4"/>
    </row>
    <row r="494" spans="1:7" ht="15.75" x14ac:dyDescent="0.3">
      <c r="A494" t="s">
        <v>932</v>
      </c>
      <c r="B494" t="str">
        <f>REPLACE(A494,1,9,"75191xx")</f>
        <v>75191xx</v>
      </c>
      <c r="C494" s="3" t="s">
        <v>933</v>
      </c>
      <c r="D494" s="4"/>
      <c r="E494" s="4"/>
      <c r="F494" s="4"/>
      <c r="G494" s="4"/>
    </row>
    <row r="495" spans="1:7" ht="15.75" x14ac:dyDescent="0.3">
      <c r="A495" t="s">
        <v>934</v>
      </c>
      <c r="B495" t="str">
        <f>REPLACE(A495,1,9,"75186xx")</f>
        <v>75186xx</v>
      </c>
      <c r="C495" s="3" t="s">
        <v>935</v>
      </c>
      <c r="D495" s="4"/>
      <c r="E495" s="4"/>
      <c r="F495" s="4"/>
      <c r="G495" s="4"/>
    </row>
    <row r="496" spans="1:7" ht="15.75" x14ac:dyDescent="0.3">
      <c r="A496" t="s">
        <v>936</v>
      </c>
      <c r="B496" t="str">
        <f>REPLACE(A496,1,9,"75194xx")</f>
        <v>75194xx</v>
      </c>
      <c r="C496" s="3" t="s">
        <v>937</v>
      </c>
      <c r="D496" s="4"/>
      <c r="E496" s="4"/>
      <c r="F496" s="4"/>
      <c r="G496" s="4"/>
    </row>
    <row r="497" spans="1:7" ht="15.75" x14ac:dyDescent="0.3">
      <c r="A497" t="s">
        <v>938</v>
      </c>
      <c r="B497" t="str">
        <f>REPLACE(A497,1,9,"75193xx")</f>
        <v>75193xx</v>
      </c>
      <c r="C497" s="3" t="s">
        <v>939</v>
      </c>
      <c r="D497" s="4"/>
      <c r="E497" s="4"/>
      <c r="F497" s="4"/>
      <c r="G497" s="4"/>
    </row>
    <row r="498" spans="1:7" ht="15.75" x14ac:dyDescent="0.3">
      <c r="A498" t="s">
        <v>940</v>
      </c>
      <c r="B498" t="str">
        <f>REPLACE(A498,1,9,"75192xx")</f>
        <v>75192xx</v>
      </c>
      <c r="C498" s="3" t="s">
        <v>941</v>
      </c>
      <c r="D498" s="4"/>
      <c r="E498" s="4"/>
      <c r="F498" s="4"/>
      <c r="G498" s="4"/>
    </row>
    <row r="499" spans="1:7" ht="15.75" x14ac:dyDescent="0.3">
      <c r="A499" t="s">
        <v>942</v>
      </c>
      <c r="B499" t="str">
        <f>REPLACE(A499,1,9,"75196xx")</f>
        <v>75196xx</v>
      </c>
      <c r="C499" s="3" t="s">
        <v>943</v>
      </c>
      <c r="D499" s="4"/>
      <c r="E499" s="4"/>
      <c r="F499" s="4"/>
      <c r="G499" s="4"/>
    </row>
    <row r="500" spans="1:7" ht="15.75" x14ac:dyDescent="0.3">
      <c r="A500" t="s">
        <v>944</v>
      </c>
      <c r="B500" t="str">
        <f>REPLACE(A500,1,9,"75202xx")</f>
        <v>75202xx</v>
      </c>
      <c r="C500" s="3" t="s">
        <v>945</v>
      </c>
      <c r="D500" s="4"/>
      <c r="E500" s="4"/>
      <c r="F500" s="4"/>
      <c r="G500" s="4"/>
    </row>
    <row r="501" spans="1:7" ht="15.75" x14ac:dyDescent="0.3">
      <c r="A501" t="s">
        <v>946</v>
      </c>
      <c r="B501" t="str">
        <f>REPLACE(A501,1,9,"75197xx")</f>
        <v>75197xx</v>
      </c>
      <c r="C501" s="3" t="s">
        <v>947</v>
      </c>
      <c r="D501" s="4"/>
      <c r="E501" s="4"/>
      <c r="F501" s="4"/>
      <c r="G501" s="4"/>
    </row>
    <row r="502" spans="1:7" ht="15.75" x14ac:dyDescent="0.3">
      <c r="A502" t="s">
        <v>948</v>
      </c>
      <c r="B502" t="str">
        <f>REPLACE(A502,1,9,"75212xx")</f>
        <v>75212xx</v>
      </c>
      <c r="C502" s="3" t="s">
        <v>949</v>
      </c>
      <c r="D502" s="4"/>
      <c r="E502" s="4"/>
      <c r="F502" s="4"/>
      <c r="G502" s="4"/>
    </row>
    <row r="503" spans="1:7" ht="15.75" x14ac:dyDescent="0.3">
      <c r="A503" t="s">
        <v>950</v>
      </c>
      <c r="B503" t="str">
        <f>REPLACE(A503,1,9,"75213xx")</f>
        <v>75213xx</v>
      </c>
      <c r="C503" s="3" t="s">
        <v>919</v>
      </c>
      <c r="D503" s="4"/>
      <c r="E503" s="4"/>
      <c r="F503" s="4"/>
      <c r="G503" s="4"/>
    </row>
    <row r="504" spans="1:7" ht="15.75" x14ac:dyDescent="0.3">
      <c r="A504" t="s">
        <v>951</v>
      </c>
      <c r="B504" t="str">
        <f>REPLACE(A504,1,9,"75211xx")</f>
        <v>75211xx</v>
      </c>
      <c r="C504" s="3" t="s">
        <v>952</v>
      </c>
      <c r="D504" s="4"/>
      <c r="E504" s="4"/>
      <c r="F504" s="4"/>
      <c r="G504" s="4"/>
    </row>
    <row r="505" spans="1:7" ht="15.75" x14ac:dyDescent="0.3">
      <c r="A505" t="s">
        <v>953</v>
      </c>
      <c r="B505" t="str">
        <f>REPLACE(A505,1,9,"75222xx")</f>
        <v>75222xx</v>
      </c>
      <c r="C505" s="3" t="s">
        <v>954</v>
      </c>
      <c r="D505" s="4"/>
      <c r="E505" s="4"/>
      <c r="F505" s="4"/>
      <c r="G505" s="4"/>
    </row>
    <row r="506" spans="1:7" ht="15.75" x14ac:dyDescent="0.3">
      <c r="A506" t="s">
        <v>955</v>
      </c>
      <c r="B506" t="str">
        <f>REPLACE(A506,1,9,"75223xx")</f>
        <v>75223xx</v>
      </c>
      <c r="C506" s="3" t="s">
        <v>956</v>
      </c>
      <c r="D506" s="4"/>
      <c r="E506" s="4"/>
      <c r="F506" s="4"/>
      <c r="G506" s="4"/>
    </row>
    <row r="507" spans="1:7" ht="15.75" x14ac:dyDescent="0.3">
      <c r="A507" t="s">
        <v>957</v>
      </c>
      <c r="B507" t="str">
        <f>REPLACE(A507,1,9,"75224xx")</f>
        <v>75224xx</v>
      </c>
      <c r="C507" s="3" t="s">
        <v>958</v>
      </c>
      <c r="D507" s="4"/>
      <c r="E507" s="4"/>
      <c r="F507" s="4"/>
      <c r="G507" s="4"/>
    </row>
    <row r="508" spans="1:7" ht="15.75" x14ac:dyDescent="0.3">
      <c r="A508" t="s">
        <v>959</v>
      </c>
      <c r="B508" t="str">
        <f>REPLACE(A508,1,9,"75221xx")</f>
        <v>75221xx</v>
      </c>
      <c r="C508" s="3" t="s">
        <v>960</v>
      </c>
      <c r="D508" s="4"/>
      <c r="E508" s="4"/>
      <c r="F508" s="4"/>
      <c r="G508" s="4"/>
    </row>
    <row r="509" spans="1:7" ht="15.75" x14ac:dyDescent="0.3">
      <c r="A509" t="s">
        <v>961</v>
      </c>
      <c r="B509" t="str">
        <f>REPLACE(A509,1,9,"75225xx")</f>
        <v>75225xx</v>
      </c>
      <c r="C509" s="3" t="s">
        <v>962</v>
      </c>
      <c r="D509" s="4"/>
      <c r="E509" s="4"/>
      <c r="F509" s="4"/>
      <c r="G509" s="4"/>
    </row>
    <row r="510" spans="1:7" ht="15.75" x14ac:dyDescent="0.3">
      <c r="A510" t="s">
        <v>963</v>
      </c>
      <c r="B510" t="str">
        <f>REPLACE(A510,1,9,"75242xx")</f>
        <v>75242xx</v>
      </c>
      <c r="C510" s="3" t="s">
        <v>964</v>
      </c>
      <c r="D510" s="4"/>
      <c r="E510" s="4"/>
      <c r="F510" s="4"/>
      <c r="G510" s="4"/>
    </row>
    <row r="511" spans="1:7" ht="15.75" x14ac:dyDescent="0.3">
      <c r="A511" t="s">
        <v>965</v>
      </c>
      <c r="B511" t="str">
        <f>REPLACE(A511,1,9,"75248xx")</f>
        <v>75248xx</v>
      </c>
      <c r="C511" s="3" t="s">
        <v>966</v>
      </c>
      <c r="D511" s="4"/>
      <c r="E511" s="4"/>
      <c r="F511" s="4"/>
      <c r="G511" s="4"/>
    </row>
    <row r="512" spans="1:7" ht="15.75" x14ac:dyDescent="0.3">
      <c r="A512" t="s">
        <v>967</v>
      </c>
      <c r="B512" t="str">
        <f>REPLACE(A512,1,9,"75243xx")</f>
        <v>75243xx</v>
      </c>
      <c r="C512" s="3" t="s">
        <v>968</v>
      </c>
      <c r="D512" s="4"/>
      <c r="E512" s="4"/>
      <c r="F512" s="4"/>
      <c r="G512" s="4"/>
    </row>
    <row r="513" spans="1:7" ht="15.75" x14ac:dyDescent="0.3">
      <c r="A513" t="s">
        <v>969</v>
      </c>
      <c r="B513" t="str">
        <f>REPLACE(A513,1,9,"75253xx")</f>
        <v>75253xx</v>
      </c>
      <c r="C513" s="3" t="s">
        <v>970</v>
      </c>
      <c r="D513" s="4"/>
      <c r="E513" s="4"/>
      <c r="F513" s="4"/>
      <c r="G513" s="4"/>
    </row>
    <row r="514" spans="1:7" ht="15.75" x14ac:dyDescent="0.3">
      <c r="A514" t="s">
        <v>971</v>
      </c>
      <c r="B514" t="str">
        <f>REPLACE(A514,1,9,"75245xx")</f>
        <v>75245xx</v>
      </c>
      <c r="C514" s="3" t="s">
        <v>972</v>
      </c>
      <c r="D514" s="4"/>
      <c r="E514" s="4"/>
      <c r="F514" s="4"/>
      <c r="G514" s="4"/>
    </row>
    <row r="515" spans="1:7" ht="15.75" x14ac:dyDescent="0.3">
      <c r="A515" t="s">
        <v>973</v>
      </c>
      <c r="B515" t="str">
        <f>REPLACE(A515,1,9,"75241xx")</f>
        <v>75241xx</v>
      </c>
      <c r="C515" s="3" t="s">
        <v>974</v>
      </c>
      <c r="D515" s="4"/>
      <c r="E515" s="4"/>
      <c r="F515" s="4"/>
      <c r="G515" s="4"/>
    </row>
    <row r="516" spans="1:7" ht="15.75" x14ac:dyDescent="0.3">
      <c r="A516" t="s">
        <v>975</v>
      </c>
      <c r="B516" t="str">
        <f>REPLACE(A516,1,9,"75254xx")</f>
        <v>75254xx</v>
      </c>
      <c r="C516" s="3" t="s">
        <v>976</v>
      </c>
      <c r="D516" s="4"/>
      <c r="E516" s="4"/>
      <c r="F516" s="4"/>
      <c r="G516" s="4"/>
    </row>
    <row r="517" spans="1:7" ht="15.75" x14ac:dyDescent="0.3">
      <c r="A517" t="s">
        <v>977</v>
      </c>
      <c r="B517" t="str">
        <f>REPLACE(A517,1,9,"75247xx")</f>
        <v>75247xx</v>
      </c>
      <c r="C517" s="3" t="s">
        <v>978</v>
      </c>
      <c r="D517" s="4"/>
      <c r="E517" s="4"/>
      <c r="F517" s="4"/>
      <c r="G517" s="4"/>
    </row>
    <row r="518" spans="1:7" ht="15.75" x14ac:dyDescent="0.3">
      <c r="A518" t="s">
        <v>979</v>
      </c>
      <c r="B518" t="str">
        <f>REPLACE(A518,1,9,"75251xx")</f>
        <v>75251xx</v>
      </c>
      <c r="C518" s="3" t="s">
        <v>980</v>
      </c>
      <c r="D518" s="4"/>
      <c r="E518" s="4"/>
      <c r="F518" s="4"/>
      <c r="G518" s="4"/>
    </row>
    <row r="519" spans="1:7" ht="15.75" x14ac:dyDescent="0.3">
      <c r="A519" t="s">
        <v>981</v>
      </c>
      <c r="B519" t="str">
        <f>REPLACE(A519,1,9,"75252xx")</f>
        <v>75252xx</v>
      </c>
      <c r="C519" s="3" t="s">
        <v>982</v>
      </c>
      <c r="D519" s="4"/>
      <c r="E519" s="4"/>
      <c r="F519" s="4"/>
      <c r="G519" s="4"/>
    </row>
    <row r="520" spans="1:7" ht="15.75" x14ac:dyDescent="0.3">
      <c r="A520" t="s">
        <v>983</v>
      </c>
      <c r="B520" t="str">
        <f>REPLACE(A520,1,9,"75249xx")</f>
        <v>75249xx</v>
      </c>
      <c r="C520" s="3" t="s">
        <v>984</v>
      </c>
      <c r="D520" s="4"/>
      <c r="E520" s="4"/>
      <c r="F520" s="4"/>
      <c r="G520" s="4"/>
    </row>
    <row r="521" spans="1:7" ht="15.75" x14ac:dyDescent="0.3">
      <c r="A521" t="s">
        <v>985</v>
      </c>
      <c r="B521" t="str">
        <f>REPLACE(A521,1,9,"75246xx")</f>
        <v>75246xx</v>
      </c>
      <c r="C521" s="3" t="s">
        <v>986</v>
      </c>
      <c r="D521" s="4"/>
      <c r="E521" s="4"/>
      <c r="F521" s="4"/>
      <c r="G521" s="4"/>
    </row>
    <row r="522" spans="1:7" ht="15.75" x14ac:dyDescent="0.3">
      <c r="A522" t="s">
        <v>987</v>
      </c>
      <c r="B522" t="str">
        <f>REPLACE(A522,1,9,"75244xx")</f>
        <v>75244xx</v>
      </c>
      <c r="C522" s="3" t="s">
        <v>988</v>
      </c>
      <c r="D522" s="4"/>
      <c r="E522" s="4"/>
      <c r="F522" s="4"/>
      <c r="G522" s="4"/>
    </row>
    <row r="523" spans="1:7" ht="15.75" x14ac:dyDescent="0.3">
      <c r="A523" t="s">
        <v>989</v>
      </c>
      <c r="B523" t="str">
        <f>REPLACE(A523,1,9,"75281xx")</f>
        <v>75281xx</v>
      </c>
      <c r="C523" s="3" t="s">
        <v>990</v>
      </c>
      <c r="D523" s="4"/>
      <c r="E523" s="4"/>
      <c r="F523" s="4"/>
      <c r="G523" s="4"/>
    </row>
    <row r="524" spans="1:7" ht="15.75" x14ac:dyDescent="0.3">
      <c r="A524" t="s">
        <v>991</v>
      </c>
      <c r="B524" t="str">
        <f>REPLACE(A524,1,9,"75274xx")</f>
        <v>75274xx</v>
      </c>
      <c r="C524" s="3" t="s">
        <v>992</v>
      </c>
      <c r="D524" s="4"/>
      <c r="E524" s="4"/>
      <c r="F524" s="4"/>
      <c r="G524" s="4"/>
    </row>
    <row r="525" spans="1:7" ht="15.75" x14ac:dyDescent="0.3">
      <c r="A525" t="s">
        <v>993</v>
      </c>
      <c r="B525" t="str">
        <f>REPLACE(A525,1,9,"75272xx")</f>
        <v>75272xx</v>
      </c>
      <c r="C525" s="3" t="s">
        <v>994</v>
      </c>
      <c r="D525" s="4"/>
      <c r="E525" s="4"/>
      <c r="F525" s="4"/>
      <c r="G525" s="4"/>
    </row>
    <row r="526" spans="1:7" ht="15.75" x14ac:dyDescent="0.3">
      <c r="A526" t="s">
        <v>995</v>
      </c>
      <c r="B526" t="str">
        <f>REPLACE(A526,1,9,"75284xx")</f>
        <v>75284xx</v>
      </c>
      <c r="C526" s="3" t="s">
        <v>996</v>
      </c>
      <c r="D526" s="4"/>
      <c r="E526" s="4"/>
      <c r="F526" s="4"/>
      <c r="G526" s="4"/>
    </row>
    <row r="527" spans="1:7" ht="15.75" x14ac:dyDescent="0.3">
      <c r="A527" t="s">
        <v>997</v>
      </c>
      <c r="B527" t="str">
        <f>REPLACE(A527,1,9,"75277xx")</f>
        <v>75277xx</v>
      </c>
      <c r="C527" s="3" t="s">
        <v>998</v>
      </c>
      <c r="D527" s="4"/>
      <c r="E527" s="4"/>
      <c r="F527" s="4"/>
      <c r="G527" s="4"/>
    </row>
    <row r="528" spans="1:7" ht="15.75" x14ac:dyDescent="0.3">
      <c r="A528" t="s">
        <v>999</v>
      </c>
      <c r="B528" t="str">
        <f>REPLACE(A528,1,9,"75278xx")</f>
        <v>75278xx</v>
      </c>
      <c r="C528" s="3" t="s">
        <v>1000</v>
      </c>
      <c r="D528" s="4"/>
      <c r="E528" s="4"/>
      <c r="F528" s="4"/>
      <c r="G528" s="4"/>
    </row>
    <row r="529" spans="1:7" ht="15.75" x14ac:dyDescent="0.3">
      <c r="A529" t="s">
        <v>1001</v>
      </c>
      <c r="B529" t="str">
        <f>REPLACE(A529,1,9,"75276xx")</f>
        <v>75276xx</v>
      </c>
      <c r="C529" s="3" t="s">
        <v>1002</v>
      </c>
      <c r="D529" s="4"/>
      <c r="E529" s="4"/>
      <c r="F529" s="4"/>
      <c r="G529" s="4"/>
    </row>
    <row r="530" spans="1:7" ht="15.75" x14ac:dyDescent="0.3">
      <c r="A530" t="s">
        <v>1003</v>
      </c>
      <c r="B530" t="str">
        <f>REPLACE(A530,1,9,"75271xx")</f>
        <v>75271xx</v>
      </c>
      <c r="C530" s="3" t="s">
        <v>1004</v>
      </c>
      <c r="D530" s="4"/>
      <c r="E530" s="4"/>
      <c r="F530" s="4"/>
      <c r="G530" s="4"/>
    </row>
    <row r="531" spans="1:7" ht="15.75" x14ac:dyDescent="0.3">
      <c r="A531" t="s">
        <v>1005</v>
      </c>
      <c r="B531" t="str">
        <f>REPLACE(A531,1,9,"75275xx")</f>
        <v>75275xx</v>
      </c>
      <c r="C531" s="3" t="s">
        <v>1006</v>
      </c>
      <c r="D531" s="4"/>
      <c r="E531" s="4"/>
      <c r="F531" s="4"/>
      <c r="G531" s="4"/>
    </row>
    <row r="532" spans="1:7" ht="15.75" x14ac:dyDescent="0.3">
      <c r="A532" t="s">
        <v>1007</v>
      </c>
      <c r="B532" t="str">
        <f>REPLACE(A532,1,9,"75273xx")</f>
        <v>75273xx</v>
      </c>
      <c r="C532" s="3" t="s">
        <v>1008</v>
      </c>
      <c r="D532" s="4"/>
      <c r="E532" s="4"/>
      <c r="F532" s="4"/>
      <c r="G532" s="4"/>
    </row>
    <row r="533" spans="1:7" ht="15.75" x14ac:dyDescent="0.3">
      <c r="A533" t="s">
        <v>1009</v>
      </c>
      <c r="B533" t="str">
        <f>REPLACE(A533,1,9,"75282xx")</f>
        <v>75282xx</v>
      </c>
      <c r="C533" s="3" t="s">
        <v>1010</v>
      </c>
      <c r="D533" s="4"/>
      <c r="E533" s="4"/>
      <c r="F533" s="4"/>
      <c r="G533" s="4"/>
    </row>
    <row r="534" spans="1:7" ht="15.75" x14ac:dyDescent="0.3">
      <c r="A534" t="s">
        <v>1011</v>
      </c>
      <c r="B534" t="str">
        <f>REPLACE(A534,1,9,"75283xx")</f>
        <v>75283xx</v>
      </c>
      <c r="C534" s="3" t="s">
        <v>1012</v>
      </c>
      <c r="D534" s="4"/>
      <c r="E534" s="4"/>
      <c r="F534" s="4"/>
      <c r="G534" s="4"/>
    </row>
    <row r="535" spans="1:7" ht="15.75" x14ac:dyDescent="0.3">
      <c r="A535" t="s">
        <v>1013</v>
      </c>
      <c r="B535" t="str">
        <f>REPLACE(A535,1,9,"75302xx")</f>
        <v>75302xx</v>
      </c>
      <c r="C535" s="3" t="s">
        <v>1014</v>
      </c>
      <c r="D535" s="4"/>
      <c r="E535" s="4"/>
      <c r="F535" s="4"/>
      <c r="G535" s="4"/>
    </row>
    <row r="536" spans="1:7" ht="15.75" x14ac:dyDescent="0.3">
      <c r="A536" t="s">
        <v>1015</v>
      </c>
      <c r="B536" t="str">
        <f>REPLACE(A536,1,9,"75303xx")</f>
        <v>75303xx</v>
      </c>
      <c r="C536" s="3" t="s">
        <v>1016</v>
      </c>
      <c r="D536" s="4"/>
      <c r="E536" s="4"/>
      <c r="F536" s="4"/>
      <c r="G536" s="4"/>
    </row>
    <row r="537" spans="1:7" ht="15.75" x14ac:dyDescent="0.3">
      <c r="A537" t="s">
        <v>1017</v>
      </c>
      <c r="B537" t="str">
        <f>REPLACE(A537,1,9,"75301xx")</f>
        <v>75301xx</v>
      </c>
      <c r="C537" s="3" t="s">
        <v>1018</v>
      </c>
      <c r="D537" s="4"/>
      <c r="E537" s="4"/>
      <c r="F537" s="4"/>
      <c r="G537" s="4"/>
    </row>
    <row r="538" spans="1:7" ht="15.75" x14ac:dyDescent="0.3">
      <c r="A538" t="s">
        <v>1019</v>
      </c>
      <c r="B538" t="str">
        <f>REPLACE(A538,1,9,"75304xx")</f>
        <v>75304xx</v>
      </c>
      <c r="C538" s="3" t="s">
        <v>1020</v>
      </c>
      <c r="D538" s="4"/>
      <c r="E538" s="4"/>
      <c r="F538" s="4"/>
      <c r="G538" s="4"/>
    </row>
    <row r="539" spans="1:7" ht="15.75" x14ac:dyDescent="0.3">
      <c r="A539" t="s">
        <v>1021</v>
      </c>
      <c r="B539" t="str">
        <f>REPLACE(A539,1,9,"75322xx")</f>
        <v>75322xx</v>
      </c>
      <c r="C539" s="3" t="s">
        <v>1022</v>
      </c>
      <c r="D539" s="4"/>
      <c r="E539" s="4"/>
      <c r="F539" s="4"/>
      <c r="G539" s="4"/>
    </row>
    <row r="540" spans="1:7" ht="15.75" x14ac:dyDescent="0.3">
      <c r="A540" t="s">
        <v>1023</v>
      </c>
      <c r="B540" t="str">
        <f>REPLACE(A540,1,9,"75323xx")</f>
        <v>75323xx</v>
      </c>
      <c r="C540" s="3" t="s">
        <v>1024</v>
      </c>
      <c r="D540" s="4"/>
      <c r="E540" s="4"/>
      <c r="F540" s="4"/>
      <c r="G540" s="4"/>
    </row>
    <row r="541" spans="1:7" ht="15.75" x14ac:dyDescent="0.3">
      <c r="A541" t="s">
        <v>1025</v>
      </c>
      <c r="B541" t="str">
        <f>REPLACE(A541,1,9,"75321xx")</f>
        <v>75321xx</v>
      </c>
      <c r="C541" s="3" t="s">
        <v>1026</v>
      </c>
      <c r="D541" s="4"/>
      <c r="E541" s="4"/>
      <c r="F541" s="4"/>
      <c r="G541" s="4"/>
    </row>
    <row r="542" spans="1:7" ht="15.75" x14ac:dyDescent="0.3">
      <c r="A542" t="s">
        <v>1027</v>
      </c>
      <c r="B542" t="str">
        <f>REPLACE(A542,1,9,"75324xx")</f>
        <v>75324xx</v>
      </c>
      <c r="C542" s="3" t="s">
        <v>1028</v>
      </c>
      <c r="D542" s="4"/>
      <c r="E542" s="4"/>
      <c r="F542" s="4"/>
      <c r="G542" s="4"/>
    </row>
    <row r="543" spans="1:7" ht="15.75" x14ac:dyDescent="0.3">
      <c r="A543" t="s">
        <v>1029</v>
      </c>
      <c r="B543" t="str">
        <f>REPLACE(A543,1,9,"75342xx")</f>
        <v>75342xx</v>
      </c>
      <c r="C543" s="3" t="s">
        <v>1030</v>
      </c>
      <c r="D543" s="4"/>
      <c r="E543" s="4"/>
      <c r="F543" s="4"/>
      <c r="G543" s="4"/>
    </row>
    <row r="544" spans="1:7" ht="15.75" x14ac:dyDescent="0.3">
      <c r="A544" t="s">
        <v>1031</v>
      </c>
      <c r="B544" t="str">
        <f>REPLACE(A544,1,9,"75341xx")</f>
        <v>75341xx</v>
      </c>
      <c r="C544" s="3" t="s">
        <v>1032</v>
      </c>
      <c r="D544" s="4"/>
      <c r="E544" s="4"/>
      <c r="F544" s="4"/>
      <c r="G544" s="4"/>
    </row>
    <row r="545" spans="1:7" ht="15.75" x14ac:dyDescent="0.3">
      <c r="A545" t="s">
        <v>1033</v>
      </c>
      <c r="B545" t="str">
        <f>REPLACE(A545,1,9,"75343xx")</f>
        <v>75343xx</v>
      </c>
      <c r="C545" s="3" t="s">
        <v>1034</v>
      </c>
      <c r="D545" s="4"/>
      <c r="E545" s="4"/>
      <c r="F545" s="4"/>
      <c r="G545" s="4"/>
    </row>
    <row r="546" spans="1:7" ht="15.75" x14ac:dyDescent="0.3">
      <c r="A546" t="s">
        <v>1035</v>
      </c>
      <c r="B546" t="str">
        <f>REPLACE(A546,1,9,"75344xx")</f>
        <v>75344xx</v>
      </c>
      <c r="C546" s="3" t="s">
        <v>1036</v>
      </c>
      <c r="D546" s="4"/>
      <c r="E546" s="4"/>
      <c r="F546" s="4"/>
      <c r="G546" s="4"/>
    </row>
    <row r="547" spans="1:7" ht="15.75" x14ac:dyDescent="0.3">
      <c r="A547" t="s">
        <v>1037</v>
      </c>
      <c r="B547" t="str">
        <f>REPLACE(A547,1,9,"75346xx")</f>
        <v>75346xx</v>
      </c>
      <c r="C547" s="3" t="s">
        <v>1038</v>
      </c>
      <c r="D547" s="4"/>
      <c r="E547" s="4"/>
      <c r="F547" s="4"/>
      <c r="G547" s="4"/>
    </row>
    <row r="548" spans="1:7" ht="15.75" x14ac:dyDescent="0.3">
      <c r="A548" t="s">
        <v>1039</v>
      </c>
      <c r="B548" t="str">
        <f>REPLACE(A548,1,9,"75345xx")</f>
        <v>75345xx</v>
      </c>
      <c r="C548" s="3" t="s">
        <v>1040</v>
      </c>
      <c r="D548" s="4"/>
      <c r="E548" s="4"/>
      <c r="F548" s="4"/>
      <c r="G548" s="4"/>
    </row>
    <row r="549" spans="1:7" ht="15.75" x14ac:dyDescent="0.3">
      <c r="A549" t="s">
        <v>1041</v>
      </c>
      <c r="B549" t="str">
        <f>REPLACE(A549,1,9,"75362xx")</f>
        <v>75362xx</v>
      </c>
      <c r="C549" s="3" t="s">
        <v>1042</v>
      </c>
      <c r="D549" s="4"/>
      <c r="E549" s="4"/>
      <c r="F549" s="4"/>
      <c r="G549" s="4"/>
    </row>
    <row r="550" spans="1:7" ht="15.75" x14ac:dyDescent="0.3">
      <c r="A550" t="s">
        <v>1043</v>
      </c>
      <c r="B550" t="str">
        <f>REPLACE(A550,1,9,"75363xx")</f>
        <v>75363xx</v>
      </c>
      <c r="C550" s="3" t="s">
        <v>1044</v>
      </c>
      <c r="D550" s="4"/>
      <c r="E550" s="4"/>
      <c r="F550" s="4"/>
      <c r="G550" s="4"/>
    </row>
    <row r="551" spans="1:7" ht="15.75" x14ac:dyDescent="0.3">
      <c r="A551" t="s">
        <v>1045</v>
      </c>
      <c r="B551" t="str">
        <f>REPLACE(A551,1,9,"75365xx")</f>
        <v>75365xx</v>
      </c>
      <c r="C551" s="3" t="s">
        <v>1046</v>
      </c>
      <c r="D551" s="4"/>
      <c r="E551" s="4"/>
      <c r="F551" s="4"/>
      <c r="G551" s="4"/>
    </row>
    <row r="552" spans="1:7" ht="15.75" x14ac:dyDescent="0.3">
      <c r="A552" t="s">
        <v>1047</v>
      </c>
      <c r="B552" t="str">
        <f>REPLACE(A552,1,9,"75361xx")</f>
        <v>75361xx</v>
      </c>
      <c r="C552" s="3" t="s">
        <v>1048</v>
      </c>
      <c r="D552" s="4"/>
      <c r="E552" s="4"/>
      <c r="F552" s="4"/>
      <c r="G552" s="4"/>
    </row>
    <row r="553" spans="1:7" ht="15.75" x14ac:dyDescent="0.3">
      <c r="A553" t="s">
        <v>1049</v>
      </c>
      <c r="B553" t="str">
        <f>REPLACE(A553,1,9,"75364xx")</f>
        <v>75364xx</v>
      </c>
      <c r="C553" s="3" t="s">
        <v>1050</v>
      </c>
      <c r="D553" s="4"/>
      <c r="E553" s="4"/>
      <c r="F553" s="4"/>
      <c r="G553" s="4"/>
    </row>
    <row r="554" spans="1:7" ht="15.75" x14ac:dyDescent="0.3">
      <c r="A554" t="s">
        <v>1051</v>
      </c>
      <c r="B554" t="str">
        <f>REPLACE(A554,1,9,"75382xx")</f>
        <v>75382xx</v>
      </c>
      <c r="C554" s="3" t="s">
        <v>1052</v>
      </c>
      <c r="D554" s="4"/>
      <c r="E554" s="4"/>
      <c r="F554" s="4"/>
      <c r="G554" s="4"/>
    </row>
    <row r="555" spans="1:7" ht="15.75" x14ac:dyDescent="0.3">
      <c r="A555" t="s">
        <v>1053</v>
      </c>
      <c r="B555" t="str">
        <f>REPLACE(A555,1,9,"75388xx")</f>
        <v>75388xx</v>
      </c>
      <c r="C555" s="3" t="s">
        <v>1054</v>
      </c>
      <c r="D555" s="4"/>
      <c r="E555" s="4"/>
      <c r="F555" s="4"/>
      <c r="G555" s="4"/>
    </row>
    <row r="556" spans="1:7" ht="15.75" x14ac:dyDescent="0.3">
      <c r="A556" t="s">
        <v>1055</v>
      </c>
      <c r="B556" t="str">
        <f>REPLACE(A556,1,9,"75383xx")</f>
        <v>75383xx</v>
      </c>
      <c r="C556" s="3" t="s">
        <v>1056</v>
      </c>
      <c r="D556" s="4"/>
      <c r="E556" s="4"/>
      <c r="F556" s="4"/>
      <c r="G556" s="4"/>
    </row>
    <row r="557" spans="1:7" ht="15.75" x14ac:dyDescent="0.3">
      <c r="A557" t="s">
        <v>1057</v>
      </c>
      <c r="B557" t="str">
        <f>REPLACE(A557,1,9,"75381xx")</f>
        <v>75381xx</v>
      </c>
      <c r="C557" s="3" t="s">
        <v>1058</v>
      </c>
      <c r="D557" s="4"/>
      <c r="E557" s="4"/>
      <c r="F557" s="4"/>
      <c r="G557" s="4"/>
    </row>
    <row r="558" spans="1:7" ht="15.75" x14ac:dyDescent="0.3">
      <c r="A558" t="s">
        <v>1059</v>
      </c>
      <c r="B558" t="str">
        <f>REPLACE(A558,1,9,"75384xx")</f>
        <v>75384xx</v>
      </c>
      <c r="C558" s="3" t="s">
        <v>1060</v>
      </c>
      <c r="D558" s="4"/>
      <c r="E558" s="4"/>
      <c r="F558" s="4"/>
      <c r="G558" s="4"/>
    </row>
    <row r="559" spans="1:7" ht="15.75" x14ac:dyDescent="0.3">
      <c r="A559" t="s">
        <v>1061</v>
      </c>
      <c r="B559" t="str">
        <f>REPLACE(A559,1,9,"75385xx")</f>
        <v>75385xx</v>
      </c>
      <c r="C559" s="3" t="s">
        <v>1062</v>
      </c>
      <c r="D559" s="4"/>
      <c r="E559" s="4"/>
      <c r="F559" s="4"/>
      <c r="G559" s="4"/>
    </row>
    <row r="560" spans="1:7" ht="15.75" x14ac:dyDescent="0.3">
      <c r="A560" t="s">
        <v>1063</v>
      </c>
      <c r="B560" t="str">
        <f>REPLACE(A560,1,9,"75403xx")</f>
        <v>75403xx</v>
      </c>
      <c r="C560" s="3" t="s">
        <v>1064</v>
      </c>
      <c r="D560" s="4"/>
      <c r="E560" s="4"/>
      <c r="F560" s="4"/>
      <c r="G560" s="4"/>
    </row>
    <row r="561" spans="1:7" ht="15.75" x14ac:dyDescent="0.3">
      <c r="A561" t="s">
        <v>1065</v>
      </c>
      <c r="B561" t="str">
        <f>REPLACE(A561,1,9,"75404xx")</f>
        <v>75404xx</v>
      </c>
      <c r="C561" s="3" t="s">
        <v>1066</v>
      </c>
      <c r="D561" s="4"/>
      <c r="E561" s="4"/>
      <c r="F561" s="4"/>
      <c r="G561" s="4"/>
    </row>
    <row r="562" spans="1:7" ht="15.75" x14ac:dyDescent="0.3">
      <c r="A562" t="s">
        <v>1067</v>
      </c>
      <c r="B562" t="str">
        <f>REPLACE(A562,1,9,"75412xx")</f>
        <v>75412xx</v>
      </c>
      <c r="C562" s="3" t="s">
        <v>1068</v>
      </c>
      <c r="D562" s="4"/>
      <c r="E562" s="4"/>
      <c r="F562" s="4"/>
      <c r="G562" s="4"/>
    </row>
    <row r="563" spans="1:7" ht="15.75" x14ac:dyDescent="0.3">
      <c r="A563" t="s">
        <v>1069</v>
      </c>
      <c r="B563" t="str">
        <f>REPLACE(A563,1,9,"75405xx")</f>
        <v>75405xx</v>
      </c>
      <c r="C563" s="3" t="s">
        <v>1070</v>
      </c>
      <c r="D563" s="4"/>
      <c r="E563" s="4"/>
      <c r="F563" s="4"/>
      <c r="G563" s="4"/>
    </row>
    <row r="564" spans="1:7" ht="15.75" x14ac:dyDescent="0.3">
      <c r="A564" t="s">
        <v>1071</v>
      </c>
      <c r="B564" t="str">
        <f>REPLACE(A564,1,9,"75402xx")</f>
        <v>75402xx</v>
      </c>
      <c r="C564" s="3" t="s">
        <v>1072</v>
      </c>
      <c r="D564" s="4"/>
      <c r="E564" s="4"/>
      <c r="F564" s="4"/>
      <c r="G564" s="4"/>
    </row>
    <row r="565" spans="1:7" ht="15.75" x14ac:dyDescent="0.3">
      <c r="A565" t="s">
        <v>1073</v>
      </c>
      <c r="B565" t="str">
        <f>REPLACE(A565,1,9,"75406xx")</f>
        <v>75406xx</v>
      </c>
      <c r="C565" s="3" t="s">
        <v>1074</v>
      </c>
      <c r="D565" s="4"/>
      <c r="E565" s="4"/>
      <c r="F565" s="4"/>
      <c r="G565" s="4"/>
    </row>
    <row r="566" spans="1:7" ht="15.75" x14ac:dyDescent="0.3">
      <c r="A566" t="s">
        <v>1075</v>
      </c>
      <c r="B566" t="str">
        <f>REPLACE(A566,1,9,"75407xx")</f>
        <v>75407xx</v>
      </c>
      <c r="C566" s="3" t="s">
        <v>1076</v>
      </c>
      <c r="D566" s="4"/>
      <c r="E566" s="4"/>
      <c r="F566" s="4"/>
      <c r="G566" s="4"/>
    </row>
    <row r="567" spans="1:7" ht="15.75" x14ac:dyDescent="0.3">
      <c r="A567" t="s">
        <v>1077</v>
      </c>
      <c r="B567" t="str">
        <f>REPLACE(A567,1,9,"75408xx")</f>
        <v>75408xx</v>
      </c>
      <c r="C567" s="3" t="s">
        <v>1078</v>
      </c>
      <c r="D567" s="4"/>
      <c r="E567" s="4"/>
      <c r="F567" s="4"/>
      <c r="G567" s="4"/>
    </row>
    <row r="568" spans="1:7" ht="15.75" x14ac:dyDescent="0.3">
      <c r="A568" t="s">
        <v>1079</v>
      </c>
      <c r="B568" t="str">
        <f>REPLACE(A568,1,9,"75409xx")</f>
        <v>75409xx</v>
      </c>
      <c r="C568" s="3" t="s">
        <v>1080</v>
      </c>
      <c r="D568" s="4"/>
      <c r="E568" s="4"/>
      <c r="F568" s="4"/>
      <c r="G568" s="4"/>
    </row>
    <row r="569" spans="1:7" ht="15.75" x14ac:dyDescent="0.3">
      <c r="A569" t="s">
        <v>1081</v>
      </c>
      <c r="B569" t="str">
        <f>REPLACE(A569,1,9,"75411xx")</f>
        <v>75411xx</v>
      </c>
      <c r="C569" s="3" t="s">
        <v>1082</v>
      </c>
      <c r="D569" s="4"/>
      <c r="E569" s="4"/>
      <c r="F569" s="4"/>
      <c r="G569" s="4"/>
    </row>
    <row r="570" spans="1:7" ht="15.75" x14ac:dyDescent="0.3">
      <c r="A570" t="s">
        <v>1083</v>
      </c>
      <c r="B570" t="str">
        <f>REPLACE(A570,1,9,"75401xx")</f>
        <v>75401xx</v>
      </c>
      <c r="C570" s="3" t="s">
        <v>1084</v>
      </c>
      <c r="D570" s="4"/>
      <c r="E570" s="4"/>
      <c r="F570" s="4"/>
      <c r="G570" s="4"/>
    </row>
    <row r="571" spans="1:7" ht="15.75" x14ac:dyDescent="0.3">
      <c r="A571" t="s">
        <v>1085</v>
      </c>
      <c r="B571" t="str">
        <f>REPLACE(A571,1,9,"75413xx")</f>
        <v>75413xx</v>
      </c>
      <c r="C571" s="3" t="s">
        <v>1086</v>
      </c>
      <c r="D571" s="4"/>
      <c r="E571" s="4"/>
      <c r="F571" s="4"/>
      <c r="G571" s="4"/>
    </row>
    <row r="572" spans="1:7" ht="15.75" x14ac:dyDescent="0.3">
      <c r="A572" t="s">
        <v>1087</v>
      </c>
      <c r="B572" t="str">
        <f>REPLACE(A572,1,9,"75414xx")</f>
        <v>75414xx</v>
      </c>
      <c r="C572" s="3" t="s">
        <v>1088</v>
      </c>
      <c r="D572" s="4"/>
      <c r="E572" s="4"/>
      <c r="F572" s="4"/>
      <c r="G572" s="4"/>
    </row>
    <row r="573" spans="1:7" ht="15.75" x14ac:dyDescent="0.3">
      <c r="A573" t="s">
        <v>1089</v>
      </c>
      <c r="B573" t="str">
        <f>REPLACE(A573,1,9,"75415xx")</f>
        <v>75415xx</v>
      </c>
      <c r="C573" s="3" t="s">
        <v>1090</v>
      </c>
      <c r="D573" s="4"/>
      <c r="E573" s="4"/>
      <c r="F573" s="4"/>
      <c r="G573" s="4"/>
    </row>
    <row r="574" spans="1:7" ht="15.75" x14ac:dyDescent="0.3">
      <c r="A574" t="s">
        <v>1091</v>
      </c>
      <c r="B574" t="str">
        <f>REPLACE(A574,1,9,"75416xx")</f>
        <v>75416xx</v>
      </c>
      <c r="C574" s="3" t="s">
        <v>1092</v>
      </c>
      <c r="D574" s="4"/>
      <c r="E574" s="4"/>
      <c r="F574" s="4"/>
      <c r="G574" s="4"/>
    </row>
    <row r="575" spans="1:7" ht="15.75" x14ac:dyDescent="0.3">
      <c r="A575" t="s">
        <v>1093</v>
      </c>
      <c r="B575" t="str">
        <f>REPLACE(A575,1,9,"75417xx")</f>
        <v>75417xx</v>
      </c>
      <c r="C575" s="3" t="s">
        <v>1094</v>
      </c>
      <c r="D575" s="4"/>
      <c r="E575" s="4"/>
      <c r="F575" s="4"/>
      <c r="G575" s="4"/>
    </row>
    <row r="576" spans="1:7" ht="15.75" x14ac:dyDescent="0.3">
      <c r="A576" t="s">
        <v>1095</v>
      </c>
      <c r="B576" t="str">
        <f>REPLACE(A576,1,9,"75418xx")</f>
        <v>75418xx</v>
      </c>
      <c r="C576" s="3" t="s">
        <v>1094</v>
      </c>
      <c r="D576" s="4"/>
      <c r="E576" s="4"/>
      <c r="F576" s="4"/>
      <c r="G576" s="4"/>
    </row>
    <row r="577" spans="1:7" ht="15.75" x14ac:dyDescent="0.3">
      <c r="A577" t="s">
        <v>1096</v>
      </c>
      <c r="B577" t="str">
        <f>REPLACE(A577,1,9,"75419xx")</f>
        <v>75419xx</v>
      </c>
      <c r="C577" s="3" t="s">
        <v>1094</v>
      </c>
      <c r="D577" s="4"/>
      <c r="E577" s="4"/>
      <c r="F577" s="4"/>
      <c r="G577" s="4"/>
    </row>
    <row r="578" spans="1:7" ht="15.75" x14ac:dyDescent="0.3">
      <c r="A578" t="s">
        <v>1097</v>
      </c>
      <c r="B578" t="str">
        <f>REPLACE(A578,1,9,"75421xx")</f>
        <v>75421xx</v>
      </c>
      <c r="C578" s="3" t="s">
        <v>1098</v>
      </c>
      <c r="D578" s="4"/>
      <c r="E578" s="4"/>
      <c r="F578" s="4"/>
      <c r="G578" s="4"/>
    </row>
    <row r="579" spans="1:7" ht="15.75" x14ac:dyDescent="0.3">
      <c r="A579" t="s">
        <v>1099</v>
      </c>
      <c r="B579" t="str">
        <f>REPLACE(A579,1,9,"75422xx")</f>
        <v>75422xx</v>
      </c>
      <c r="C579" s="3" t="s">
        <v>1100</v>
      </c>
      <c r="D579" s="4"/>
      <c r="E579" s="4"/>
      <c r="F579" s="4"/>
      <c r="G579" s="4"/>
    </row>
    <row r="580" spans="1:7" ht="15.75" x14ac:dyDescent="0.3">
      <c r="A580" t="s">
        <v>1101</v>
      </c>
      <c r="B580" t="str">
        <f>REPLACE(A580,1,9,"75423xx")</f>
        <v>75423xx</v>
      </c>
      <c r="C580" s="3" t="s">
        <v>1102</v>
      </c>
      <c r="D580" s="4"/>
      <c r="E580" s="4"/>
      <c r="F580" s="4"/>
      <c r="G580" s="4"/>
    </row>
    <row r="581" spans="1:7" ht="15.75" x14ac:dyDescent="0.3">
      <c r="A581" t="s">
        <v>1103</v>
      </c>
      <c r="B581" t="str">
        <f>REPLACE(A581,1,9,"75433xx")</f>
        <v>75433xx</v>
      </c>
      <c r="C581" s="3" t="s">
        <v>1104</v>
      </c>
      <c r="D581" s="4"/>
      <c r="E581" s="4"/>
      <c r="F581" s="4"/>
      <c r="G581" s="4"/>
    </row>
    <row r="582" spans="1:7" ht="15.75" x14ac:dyDescent="0.3">
      <c r="A582" t="s">
        <v>1105</v>
      </c>
      <c r="B582" t="str">
        <f>REPLACE(A582,1,9,"75437xx")</f>
        <v>75437xx</v>
      </c>
      <c r="C582" s="3" t="s">
        <v>1106</v>
      </c>
      <c r="D582" s="4"/>
      <c r="E582" s="4"/>
      <c r="F582" s="4"/>
      <c r="G582" s="4"/>
    </row>
    <row r="583" spans="1:7" ht="15.75" x14ac:dyDescent="0.3">
      <c r="A583" t="s">
        <v>1107</v>
      </c>
      <c r="B583" t="str">
        <f>REPLACE(A583,1,9,"75432xx")</f>
        <v>75432xx</v>
      </c>
      <c r="C583" s="3" t="s">
        <v>1108</v>
      </c>
      <c r="D583" s="4"/>
      <c r="E583" s="4"/>
      <c r="F583" s="4"/>
      <c r="G583" s="4"/>
    </row>
    <row r="584" spans="1:7" ht="15.75" x14ac:dyDescent="0.3">
      <c r="A584" t="s">
        <v>1109</v>
      </c>
      <c r="B584" t="str">
        <f>REPLACE(A584,1,9,"75439xx")</f>
        <v>75439xx</v>
      </c>
      <c r="C584" s="3" t="s">
        <v>1110</v>
      </c>
      <c r="D584" s="4"/>
      <c r="E584" s="4"/>
      <c r="F584" s="4"/>
      <c r="G584" s="4"/>
    </row>
    <row r="585" spans="1:7" ht="15.75" x14ac:dyDescent="0.3">
      <c r="A585" t="s">
        <v>1111</v>
      </c>
      <c r="B585" t="str">
        <f>REPLACE(A585,1,9,"75452xx")</f>
        <v>75452xx</v>
      </c>
      <c r="C585" s="3" t="s">
        <v>1112</v>
      </c>
      <c r="D585" s="4"/>
      <c r="E585" s="4"/>
      <c r="F585" s="4"/>
      <c r="G585" s="4"/>
    </row>
    <row r="586" spans="1:7" ht="15.75" x14ac:dyDescent="0.3">
      <c r="A586" t="s">
        <v>1113</v>
      </c>
      <c r="B586" t="str">
        <f>REPLACE(A586,1,9,"75447xx")</f>
        <v>75447xx</v>
      </c>
      <c r="C586" s="3" t="s">
        <v>1114</v>
      </c>
      <c r="D586" s="4"/>
      <c r="E586" s="4"/>
      <c r="F586" s="4"/>
      <c r="G586" s="4"/>
    </row>
    <row r="587" spans="1:7" ht="15.75" x14ac:dyDescent="0.3">
      <c r="A587" t="s">
        <v>1115</v>
      </c>
      <c r="B587" t="str">
        <f>REPLACE(A587,1,9,"75436xx")</f>
        <v>75436xx</v>
      </c>
      <c r="C587" s="3" t="s">
        <v>1116</v>
      </c>
      <c r="D587" s="4"/>
      <c r="E587" s="4"/>
      <c r="F587" s="4"/>
      <c r="G587" s="4"/>
    </row>
    <row r="588" spans="1:7" ht="15.75" x14ac:dyDescent="0.3">
      <c r="A588" t="s">
        <v>1117</v>
      </c>
      <c r="B588" t="str">
        <f>REPLACE(A588,1,9,"75442xx")</f>
        <v>75442xx</v>
      </c>
      <c r="C588" s="3" t="s">
        <v>1118</v>
      </c>
      <c r="D588" s="4"/>
      <c r="E588" s="4"/>
      <c r="F588" s="4"/>
      <c r="G588" s="4"/>
    </row>
    <row r="589" spans="1:7" ht="15.75" x14ac:dyDescent="0.3">
      <c r="A589" t="s">
        <v>1119</v>
      </c>
      <c r="B589" t="str">
        <f>REPLACE(A589,1,9,"75441xx")</f>
        <v>75441xx</v>
      </c>
      <c r="C589" s="3" t="s">
        <v>1120</v>
      </c>
      <c r="D589" s="4"/>
      <c r="E589" s="4"/>
      <c r="F589" s="4"/>
      <c r="G589" s="4"/>
    </row>
    <row r="590" spans="1:7" ht="15.75" x14ac:dyDescent="0.3">
      <c r="A590" t="s">
        <v>1121</v>
      </c>
      <c r="B590" t="str">
        <f>REPLACE(A590,1,9,"75435xx")</f>
        <v>75435xx</v>
      </c>
      <c r="C590" s="3" t="s">
        <v>1122</v>
      </c>
      <c r="D590" s="4"/>
      <c r="E590" s="4"/>
      <c r="F590" s="4"/>
      <c r="G590" s="4"/>
    </row>
    <row r="591" spans="1:7" ht="15.75" x14ac:dyDescent="0.3">
      <c r="A591" t="s">
        <v>1123</v>
      </c>
      <c r="B591" t="str">
        <f>REPLACE(A591,1,9,"75431xx")</f>
        <v>75431xx</v>
      </c>
      <c r="C591" s="3" t="s">
        <v>1124</v>
      </c>
      <c r="D591" s="4"/>
      <c r="E591" s="4"/>
      <c r="F591" s="4"/>
      <c r="G591" s="4"/>
    </row>
    <row r="592" spans="1:7" ht="15.75" x14ac:dyDescent="0.3">
      <c r="A592" t="s">
        <v>1125</v>
      </c>
      <c r="B592" t="str">
        <f>REPLACE(A592,1,9,"75434xx")</f>
        <v>75434xx</v>
      </c>
      <c r="C592" s="3" t="s">
        <v>1126</v>
      </c>
      <c r="D592" s="4"/>
      <c r="E592" s="4"/>
      <c r="F592" s="4"/>
      <c r="G592" s="4"/>
    </row>
    <row r="593" spans="1:7" ht="15.75" x14ac:dyDescent="0.3">
      <c r="A593" t="s">
        <v>1127</v>
      </c>
      <c r="B593" t="str">
        <f>REPLACE(A593,1,9,"75444xx")</f>
        <v>75444xx</v>
      </c>
      <c r="C593" s="3" t="s">
        <v>1128</v>
      </c>
      <c r="D593" s="4"/>
      <c r="E593" s="4"/>
      <c r="F593" s="4"/>
      <c r="G593" s="4"/>
    </row>
    <row r="594" spans="1:7" ht="15.75" x14ac:dyDescent="0.3">
      <c r="A594" t="s">
        <v>1129</v>
      </c>
      <c r="B594" t="str">
        <f>REPLACE(A594,1,9,"75449xx")</f>
        <v>75449xx</v>
      </c>
      <c r="C594" s="3" t="s">
        <v>1130</v>
      </c>
      <c r="D594" s="4"/>
      <c r="E594" s="4"/>
      <c r="F594" s="4"/>
      <c r="G594" s="4"/>
    </row>
    <row r="595" spans="1:7" ht="15.75" x14ac:dyDescent="0.3">
      <c r="A595" t="s">
        <v>1131</v>
      </c>
      <c r="B595" t="str">
        <f>REPLACE(A595,1,9,"75445xx")</f>
        <v>75445xx</v>
      </c>
      <c r="C595" s="3" t="s">
        <v>1132</v>
      </c>
      <c r="D595" s="4"/>
      <c r="E595" s="4"/>
      <c r="F595" s="4"/>
      <c r="G595" s="4"/>
    </row>
    <row r="596" spans="1:7" ht="15.75" x14ac:dyDescent="0.3">
      <c r="A596" t="s">
        <v>1133</v>
      </c>
      <c r="B596" t="str">
        <f>REPLACE(A596,1,9,"75438xx")</f>
        <v>75438xx</v>
      </c>
      <c r="C596" s="3" t="s">
        <v>1134</v>
      </c>
      <c r="D596" s="4"/>
      <c r="E596" s="4"/>
      <c r="F596" s="4"/>
      <c r="G596" s="4"/>
    </row>
    <row r="597" spans="1:7" ht="15.75" x14ac:dyDescent="0.3">
      <c r="A597" t="s">
        <v>1135</v>
      </c>
      <c r="B597" t="str">
        <f>REPLACE(A597,1,9,"75446xx")</f>
        <v>75446xx</v>
      </c>
      <c r="C597" s="3" t="s">
        <v>1136</v>
      </c>
      <c r="D597" s="4"/>
      <c r="E597" s="4"/>
      <c r="F597" s="4"/>
      <c r="G597" s="4"/>
    </row>
    <row r="598" spans="1:7" ht="15.75" x14ac:dyDescent="0.3">
      <c r="A598" t="s">
        <v>1137</v>
      </c>
      <c r="B598" t="str">
        <f>REPLACE(A598,1,9,"75448xx")</f>
        <v>75448xx</v>
      </c>
      <c r="C598" s="3" t="s">
        <v>1138</v>
      </c>
      <c r="D598" s="4"/>
      <c r="E598" s="4"/>
      <c r="F598" s="4"/>
      <c r="G598" s="4"/>
    </row>
    <row r="599" spans="1:7" ht="15.75" x14ac:dyDescent="0.3">
      <c r="A599" t="s">
        <v>1139</v>
      </c>
      <c r="B599" t="str">
        <f>REPLACE(A599,1,9,"75453xx")</f>
        <v>75453xx</v>
      </c>
      <c r="C599" s="3" t="s">
        <v>1140</v>
      </c>
      <c r="D599" s="4"/>
      <c r="E599" s="4"/>
      <c r="F599" s="4"/>
      <c r="G599" s="4"/>
    </row>
    <row r="600" spans="1:7" ht="15.75" x14ac:dyDescent="0.3">
      <c r="A600" t="s">
        <v>1141</v>
      </c>
      <c r="B600" t="str">
        <f>REPLACE(A600,1,9,"75443xx")</f>
        <v>75443xx</v>
      </c>
      <c r="C600" s="3" t="s">
        <v>1142</v>
      </c>
      <c r="D600" s="4"/>
      <c r="E600" s="4"/>
      <c r="F600" s="4"/>
      <c r="G600" s="4"/>
    </row>
    <row r="601" spans="1:7" ht="15.75" x14ac:dyDescent="0.3">
      <c r="A601" t="s">
        <v>1143</v>
      </c>
      <c r="B601" t="str">
        <f>REPLACE(A601,1,9,"75451xx")</f>
        <v>75451xx</v>
      </c>
      <c r="C601" s="3" t="s">
        <v>1144</v>
      </c>
      <c r="D601" s="4"/>
      <c r="E601" s="4"/>
      <c r="F601" s="4"/>
      <c r="G601" s="4"/>
    </row>
    <row r="602" spans="1:7" ht="15.75" x14ac:dyDescent="0.3">
      <c r="A602" t="s">
        <v>1145</v>
      </c>
      <c r="B602" t="str">
        <f>REPLACE(A602,1,9,"75473xx")</f>
        <v>75473xx</v>
      </c>
      <c r="C602" s="3" t="s">
        <v>1146</v>
      </c>
      <c r="D602" s="4"/>
      <c r="E602" s="4"/>
      <c r="F602" s="4"/>
      <c r="G602" s="4"/>
    </row>
    <row r="603" spans="1:7" ht="15.75" x14ac:dyDescent="0.3">
      <c r="A603" t="s">
        <v>1147</v>
      </c>
      <c r="B603" t="str">
        <f>REPLACE(A603,1,9,"75475xx")</f>
        <v>75475xx</v>
      </c>
      <c r="C603" s="3" t="s">
        <v>1148</v>
      </c>
      <c r="D603" s="4"/>
      <c r="E603" s="4"/>
      <c r="F603" s="4"/>
      <c r="G603" s="4"/>
    </row>
    <row r="604" spans="1:7" ht="15.75" x14ac:dyDescent="0.3">
      <c r="A604" t="s">
        <v>1149</v>
      </c>
      <c r="B604" t="str">
        <f>REPLACE(A604,1,9,"75471xx")</f>
        <v>75471xx</v>
      </c>
      <c r="C604" s="3" t="s">
        <v>1150</v>
      </c>
      <c r="D604" s="4"/>
      <c r="E604" s="4"/>
      <c r="F604" s="4"/>
      <c r="G604" s="4"/>
    </row>
    <row r="605" spans="1:7" ht="15.75" x14ac:dyDescent="0.3">
      <c r="A605" t="s">
        <v>1151</v>
      </c>
      <c r="B605" t="str">
        <f>REPLACE(A605,1,9,"75472xx")</f>
        <v>75472xx</v>
      </c>
      <c r="C605" s="3" t="s">
        <v>1152</v>
      </c>
      <c r="D605" s="4"/>
      <c r="E605" s="4"/>
      <c r="F605" s="4"/>
      <c r="G605" s="4"/>
    </row>
    <row r="606" spans="1:7" ht="15.75" x14ac:dyDescent="0.3">
      <c r="A606" t="s">
        <v>1153</v>
      </c>
      <c r="B606" t="str">
        <f>REPLACE(A606,1,9,"75474xx")</f>
        <v>75474xx</v>
      </c>
      <c r="C606" s="3" t="s">
        <v>1154</v>
      </c>
      <c r="D606" s="4"/>
      <c r="E606" s="4"/>
      <c r="F606" s="4"/>
      <c r="G606" s="4"/>
    </row>
    <row r="607" spans="1:7" ht="15.75" x14ac:dyDescent="0.3">
      <c r="A607" t="s">
        <v>1155</v>
      </c>
      <c r="B607" t="str">
        <f>REPLACE(A607,1,9,"75492xx")</f>
        <v>75492xx</v>
      </c>
      <c r="C607" s="3" t="s">
        <v>1156</v>
      </c>
      <c r="D607" s="4"/>
      <c r="E607" s="4"/>
      <c r="F607" s="4"/>
      <c r="G607" s="4"/>
    </row>
    <row r="608" spans="1:7" ht="15.75" x14ac:dyDescent="0.3">
      <c r="A608" t="s">
        <v>1157</v>
      </c>
      <c r="B608" t="str">
        <f>REPLACE(A608,1,9,"75491xx")</f>
        <v>75491xx</v>
      </c>
      <c r="C608" s="3" t="s">
        <v>1158</v>
      </c>
      <c r="D608" s="4"/>
      <c r="E608" s="4"/>
      <c r="F608" s="4"/>
      <c r="G608" s="4"/>
    </row>
    <row r="609" spans="1:7" ht="15.75" x14ac:dyDescent="0.3">
      <c r="A609" t="s">
        <v>1159</v>
      </c>
      <c r="B609" t="str">
        <f>REPLACE(A609,1,9,"75493xx")</f>
        <v>75493xx</v>
      </c>
      <c r="C609" s="3" t="s">
        <v>1160</v>
      </c>
      <c r="D609" s="4"/>
      <c r="E609" s="4"/>
      <c r="F609" s="4"/>
      <c r="G609" s="4"/>
    </row>
    <row r="610" spans="1:7" ht="15.75" x14ac:dyDescent="0.3">
      <c r="A610" t="s">
        <v>1161</v>
      </c>
      <c r="B610" t="str">
        <f>REPLACE(A610,1,9,"75514xx")</f>
        <v>75514xx</v>
      </c>
      <c r="C610" s="3" t="s">
        <v>1162</v>
      </c>
      <c r="D610" s="4"/>
      <c r="E610" s="4"/>
      <c r="F610" s="4"/>
      <c r="G610" s="4"/>
    </row>
    <row r="611" spans="1:7" ht="15.75" x14ac:dyDescent="0.3">
      <c r="A611" t="s">
        <v>1163</v>
      </c>
      <c r="B611" t="str">
        <f>REPLACE(A611,1,9,"75515xx")</f>
        <v>75515xx</v>
      </c>
      <c r="C611" s="3" t="s">
        <v>1164</v>
      </c>
      <c r="D611" s="4"/>
      <c r="E611" s="4"/>
      <c r="F611" s="4"/>
      <c r="G611" s="4"/>
    </row>
    <row r="612" spans="1:7" ht="15.75" x14ac:dyDescent="0.3">
      <c r="A612" t="s">
        <v>1165</v>
      </c>
      <c r="B612" t="str">
        <f>REPLACE(A612,1,9,"75517xx")</f>
        <v>75517xx</v>
      </c>
      <c r="C612" s="3" t="s">
        <v>1166</v>
      </c>
      <c r="D612" s="4"/>
      <c r="E612" s="4"/>
      <c r="F612" s="4"/>
      <c r="G612" s="4"/>
    </row>
    <row r="613" spans="1:7" ht="15.75" x14ac:dyDescent="0.3">
      <c r="A613" t="s">
        <v>1167</v>
      </c>
      <c r="B613" t="str">
        <f>REPLACE(A613,1,9,"75512xx")</f>
        <v>75512xx</v>
      </c>
      <c r="C613" s="3" t="s">
        <v>1168</v>
      </c>
      <c r="D613" s="4"/>
      <c r="E613" s="4"/>
      <c r="F613" s="4"/>
      <c r="G613" s="4"/>
    </row>
    <row r="614" spans="1:7" ht="15.75" x14ac:dyDescent="0.3">
      <c r="A614" t="s">
        <v>1169</v>
      </c>
      <c r="B614" t="str">
        <f>REPLACE(A614,1,9,"75518xx")</f>
        <v>75518xx</v>
      </c>
      <c r="C614" s="3" t="s">
        <v>1170</v>
      </c>
      <c r="D614" s="4"/>
      <c r="E614" s="4"/>
      <c r="F614" s="4"/>
      <c r="G614" s="4"/>
    </row>
    <row r="615" spans="1:7" ht="15.75" x14ac:dyDescent="0.3">
      <c r="A615" t="s">
        <v>1171</v>
      </c>
      <c r="B615" t="str">
        <f>REPLACE(A615,1,9,"75519xx")</f>
        <v>75519xx</v>
      </c>
      <c r="C615" s="3" t="s">
        <v>1172</v>
      </c>
      <c r="D615" s="4"/>
      <c r="E615" s="4"/>
      <c r="F615" s="4"/>
      <c r="G615" s="4"/>
    </row>
    <row r="616" spans="1:7" ht="15.75" x14ac:dyDescent="0.3">
      <c r="A616" t="s">
        <v>1173</v>
      </c>
      <c r="B616" t="str">
        <f>REPLACE(A616,1,9,"75522xx")</f>
        <v>75522xx</v>
      </c>
      <c r="C616" s="3" t="s">
        <v>1174</v>
      </c>
      <c r="D616" s="4"/>
      <c r="E616" s="4"/>
      <c r="F616" s="4"/>
      <c r="G616" s="4"/>
    </row>
    <row r="617" spans="1:7" ht="15.75" x14ac:dyDescent="0.3">
      <c r="A617" t="s">
        <v>1175</v>
      </c>
      <c r="B617" t="str">
        <f>REPLACE(A617,1,9,"75521xx")</f>
        <v>75521xx</v>
      </c>
      <c r="C617" s="3" t="s">
        <v>1176</v>
      </c>
      <c r="D617" s="4"/>
      <c r="E617" s="4"/>
      <c r="F617" s="4"/>
      <c r="G617" s="4"/>
    </row>
    <row r="618" spans="1:7" ht="15.75" x14ac:dyDescent="0.3">
      <c r="A618" t="s">
        <v>1177</v>
      </c>
      <c r="B618" t="str">
        <f>REPLACE(A618,1,9,"75524xx")</f>
        <v>75524xx</v>
      </c>
      <c r="C618" s="3" t="s">
        <v>1178</v>
      </c>
      <c r="D618" s="4"/>
      <c r="E618" s="4"/>
      <c r="F618" s="4"/>
      <c r="G618" s="4"/>
    </row>
    <row r="619" spans="1:7" ht="15.75" x14ac:dyDescent="0.3">
      <c r="A619" t="s">
        <v>1179</v>
      </c>
      <c r="B619" t="str">
        <f>REPLACE(A619,1,9,"75511xx")</f>
        <v>75511xx</v>
      </c>
      <c r="C619" s="3" t="s">
        <v>1180</v>
      </c>
      <c r="D619" s="4"/>
      <c r="E619" s="4"/>
      <c r="F619" s="4"/>
      <c r="G619" s="4"/>
    </row>
    <row r="620" spans="1:7" ht="15.75" x14ac:dyDescent="0.3">
      <c r="A620" t="s">
        <v>1181</v>
      </c>
      <c r="B620" t="str">
        <f>REPLACE(A620,1,9,"75523xx")</f>
        <v>75523xx</v>
      </c>
      <c r="C620" s="3" t="s">
        <v>1182</v>
      </c>
      <c r="D620" s="4"/>
      <c r="E620" s="4"/>
      <c r="F620" s="4"/>
      <c r="G620" s="4"/>
    </row>
    <row r="621" spans="1:7" ht="15.75" x14ac:dyDescent="0.3">
      <c r="A621" t="s">
        <v>1183</v>
      </c>
      <c r="B621" t="str">
        <f>REPLACE(A621,1,9,"75552xx")</f>
        <v>75552xx</v>
      </c>
      <c r="C621" s="3" t="s">
        <v>1184</v>
      </c>
      <c r="D621" s="4"/>
      <c r="E621" s="4"/>
      <c r="F621" s="4"/>
      <c r="G621" s="4"/>
    </row>
    <row r="622" spans="1:7" ht="15.75" x14ac:dyDescent="0.3">
      <c r="A622" t="s">
        <v>1185</v>
      </c>
      <c r="B622" t="str">
        <f>REPLACE(A622,1,9,"75554xx")</f>
        <v>75554xx</v>
      </c>
      <c r="C622" s="3" t="s">
        <v>1186</v>
      </c>
      <c r="D622" s="4"/>
      <c r="E622" s="4"/>
      <c r="F622" s="4"/>
      <c r="G622" s="4"/>
    </row>
    <row r="623" spans="1:7" ht="15.75" x14ac:dyDescent="0.3">
      <c r="A623" t="s">
        <v>1187</v>
      </c>
      <c r="B623" t="str">
        <f>REPLACE(A623,1,9,"75525xx")</f>
        <v>75525xx</v>
      </c>
      <c r="C623" s="3" t="s">
        <v>1188</v>
      </c>
      <c r="D623" s="4"/>
      <c r="E623" s="4"/>
      <c r="F623" s="4"/>
      <c r="G623" s="4"/>
    </row>
    <row r="624" spans="1:7" ht="15.75" x14ac:dyDescent="0.3">
      <c r="A624" t="s">
        <v>1189</v>
      </c>
      <c r="B624" t="str">
        <f>REPLACE(A624,1,9,"75526xx")</f>
        <v>75526xx</v>
      </c>
      <c r="C624" s="3" t="s">
        <v>1190</v>
      </c>
      <c r="D624" s="4"/>
      <c r="E624" s="4"/>
      <c r="F624" s="4"/>
      <c r="G624" s="4"/>
    </row>
    <row r="625" spans="1:7" ht="15.75" x14ac:dyDescent="0.3">
      <c r="A625" t="s">
        <v>1191</v>
      </c>
      <c r="B625" t="str">
        <f>REPLACE(A625,1,9,"75513xx")</f>
        <v>75513xx</v>
      </c>
      <c r="C625" s="3" t="s">
        <v>1192</v>
      </c>
      <c r="D625" s="4"/>
      <c r="E625" s="4"/>
      <c r="F625" s="4"/>
      <c r="G625" s="4"/>
    </row>
    <row r="626" spans="1:7" ht="15.75" x14ac:dyDescent="0.3">
      <c r="A626" t="s">
        <v>1193</v>
      </c>
      <c r="B626" t="str">
        <f>REPLACE(A626,1,9,"75553xx")</f>
        <v>75553xx</v>
      </c>
      <c r="C626" s="3" t="s">
        <v>1194</v>
      </c>
      <c r="D626" s="4"/>
      <c r="E626" s="4"/>
      <c r="F626" s="4"/>
      <c r="G626" s="4"/>
    </row>
    <row r="627" spans="1:7" ht="15.75" x14ac:dyDescent="0.3">
      <c r="A627" t="s">
        <v>1195</v>
      </c>
      <c r="B627" t="str">
        <f>REPLACE(A627,1,9,"75516xx")</f>
        <v>75516xx</v>
      </c>
      <c r="C627" s="3" t="s">
        <v>1196</v>
      </c>
      <c r="D627" s="4"/>
      <c r="E627" s="4"/>
      <c r="F627" s="4"/>
      <c r="G627" s="4"/>
    </row>
    <row r="628" spans="1:7" ht="15.75" x14ac:dyDescent="0.3">
      <c r="A628" t="s">
        <v>1197</v>
      </c>
      <c r="B628" t="str">
        <f>REPLACE(A628,1,9,"75527xx")</f>
        <v>75527xx</v>
      </c>
      <c r="C628" s="3" t="s">
        <v>1198</v>
      </c>
      <c r="D628" s="4"/>
      <c r="E628" s="4"/>
      <c r="F628" s="4"/>
      <c r="G628" s="4"/>
    </row>
    <row r="629" spans="1:7" ht="15.75" x14ac:dyDescent="0.3">
      <c r="A629" t="s">
        <v>1199</v>
      </c>
      <c r="B629" t="str">
        <f>REPLACE(A629,1,9,"75528xx")</f>
        <v>75528xx</v>
      </c>
      <c r="C629" s="3" t="s">
        <v>1200</v>
      </c>
      <c r="D629" s="4"/>
      <c r="E629" s="4"/>
      <c r="F629" s="4"/>
      <c r="G629" s="4"/>
    </row>
    <row r="630" spans="1:7" ht="15.75" x14ac:dyDescent="0.3">
      <c r="A630" t="s">
        <v>1201</v>
      </c>
      <c r="B630" t="str">
        <f>REPLACE(A630,1,9,"75555xx")</f>
        <v>75555xx</v>
      </c>
      <c r="C630" s="3" t="s">
        <v>1202</v>
      </c>
      <c r="D630" s="4"/>
      <c r="E630" s="4"/>
      <c r="F630" s="4"/>
      <c r="G630" s="4"/>
    </row>
    <row r="631" spans="1:7" ht="15.75" x14ac:dyDescent="0.3">
      <c r="A631" t="s">
        <v>1203</v>
      </c>
      <c r="B631" t="str">
        <f>REPLACE(A631,1,9,"75529xx")</f>
        <v>75529xx</v>
      </c>
      <c r="C631" s="3" t="s">
        <v>1204</v>
      </c>
      <c r="D631" s="4"/>
      <c r="E631" s="4"/>
      <c r="F631" s="4"/>
      <c r="G631" s="4"/>
    </row>
    <row r="632" spans="1:7" ht="15.75" x14ac:dyDescent="0.3">
      <c r="A632" t="s">
        <v>1205</v>
      </c>
      <c r="B632" t="str">
        <f>REPLACE(A632,1,9,"75551xx")</f>
        <v>75551xx</v>
      </c>
      <c r="C632" s="3" t="s">
        <v>1206</v>
      </c>
      <c r="D632" s="4"/>
      <c r="E632" s="4"/>
      <c r="F632" s="4"/>
      <c r="G632" s="4"/>
    </row>
    <row r="633" spans="1:7" ht="15.75" x14ac:dyDescent="0.3">
      <c r="A633" t="s">
        <v>1207</v>
      </c>
      <c r="B633" t="str">
        <f>REPLACE(A633,1,9,"75532xx")</f>
        <v>75532xx</v>
      </c>
      <c r="C633" s="3" t="s">
        <v>1208</v>
      </c>
      <c r="D633" s="4"/>
      <c r="E633" s="4"/>
      <c r="F633" s="4"/>
      <c r="G633" s="4"/>
    </row>
    <row r="634" spans="1:7" ht="15.75" x14ac:dyDescent="0.3">
      <c r="A634" t="s">
        <v>1209</v>
      </c>
      <c r="B634" t="str">
        <f>REPLACE(A634,1,9,"75534xx")</f>
        <v>75534xx</v>
      </c>
      <c r="C634" s="3" t="s">
        <v>1210</v>
      </c>
      <c r="D634" s="4"/>
      <c r="E634" s="4"/>
      <c r="F634" s="4"/>
      <c r="G634" s="4"/>
    </row>
    <row r="635" spans="1:7" ht="15.75" x14ac:dyDescent="0.3">
      <c r="A635" t="s">
        <v>1211</v>
      </c>
      <c r="B635" t="str">
        <f>REPLACE(A635,1,9,"75533xx")</f>
        <v>75533xx</v>
      </c>
      <c r="C635" s="3" t="s">
        <v>1212</v>
      </c>
      <c r="D635" s="4"/>
      <c r="E635" s="4"/>
      <c r="F635" s="4"/>
      <c r="G635" s="4"/>
    </row>
    <row r="636" spans="1:7" ht="15.75" x14ac:dyDescent="0.3">
      <c r="A636" t="s">
        <v>1213</v>
      </c>
      <c r="B636" t="str">
        <f>REPLACE(A636,1,9,"75531xx")</f>
        <v>75531xx</v>
      </c>
      <c r="C636" s="3" t="s">
        <v>1214</v>
      </c>
      <c r="D636" s="4"/>
      <c r="E636" s="4"/>
      <c r="F636" s="4"/>
      <c r="G636" s="4"/>
    </row>
    <row r="637" spans="1:7" ht="15.75" x14ac:dyDescent="0.3">
      <c r="A637" t="s">
        <v>1215</v>
      </c>
      <c r="B637" t="str">
        <f>REPLACE(A637,1,9,"75535xx")</f>
        <v>75535xx</v>
      </c>
      <c r="C637" s="3" t="s">
        <v>1216</v>
      </c>
      <c r="D637" s="4"/>
      <c r="E637" s="4"/>
      <c r="F637" s="4"/>
      <c r="G637" s="4"/>
    </row>
    <row r="638" spans="1:7" ht="15.75" x14ac:dyDescent="0.3">
      <c r="A638" t="s">
        <v>1217</v>
      </c>
      <c r="B638" t="str">
        <f>REPLACE(A638,1,9,"75601xx")</f>
        <v>75601xx</v>
      </c>
      <c r="C638" s="3" t="s">
        <v>1218</v>
      </c>
      <c r="D638" s="4"/>
      <c r="E638" s="4"/>
      <c r="F638" s="4"/>
      <c r="G638" s="4"/>
    </row>
    <row r="639" spans="1:7" ht="15.75" x14ac:dyDescent="0.3">
      <c r="A639" t="s">
        <v>1219</v>
      </c>
      <c r="B639" t="str">
        <f>REPLACE(A639,1,9,"75609xx")</f>
        <v>75609xx</v>
      </c>
      <c r="C639" s="3" t="s">
        <v>1220</v>
      </c>
      <c r="D639" s="4"/>
      <c r="E639" s="4"/>
      <c r="F639" s="4"/>
      <c r="G639" s="4"/>
    </row>
    <row r="640" spans="1:7" ht="15.75" x14ac:dyDescent="0.3">
      <c r="A640" t="s">
        <v>1221</v>
      </c>
      <c r="B640" t="str">
        <f>REPLACE(A640,1,9,"75602xx")</f>
        <v>75602xx</v>
      </c>
      <c r="C640" s="3" t="s">
        <v>1222</v>
      </c>
      <c r="D640" s="4"/>
      <c r="E640" s="4"/>
      <c r="F640" s="4"/>
      <c r="G640" s="4"/>
    </row>
    <row r="641" spans="1:7" ht="15.75" x14ac:dyDescent="0.3">
      <c r="A641" t="s">
        <v>1223</v>
      </c>
      <c r="B641" t="str">
        <f>REPLACE(A641,1,9,"75603xx")</f>
        <v>75603xx</v>
      </c>
      <c r="C641" s="3" t="s">
        <v>1224</v>
      </c>
      <c r="D641" s="4"/>
      <c r="E641" s="4"/>
      <c r="F641" s="4"/>
      <c r="G641" s="4"/>
    </row>
    <row r="642" spans="1:7" ht="15.75" x14ac:dyDescent="0.3">
      <c r="A642" t="s">
        <v>1225</v>
      </c>
      <c r="B642" t="str">
        <f>REPLACE(A642,1,9,"75952xx")</f>
        <v>75952xx</v>
      </c>
      <c r="C642" s="3" t="s">
        <v>1226</v>
      </c>
      <c r="D642" s="4"/>
      <c r="E642" s="4"/>
      <c r="F642" s="4"/>
      <c r="G642" s="4"/>
    </row>
    <row r="643" spans="1:7" ht="15.75" x14ac:dyDescent="0.3">
      <c r="A643" t="s">
        <v>1227</v>
      </c>
      <c r="B643" t="str">
        <f>REPLACE(A643,1,9,"75951xx")</f>
        <v>75951xx</v>
      </c>
      <c r="C643" s="3" t="s">
        <v>1228</v>
      </c>
      <c r="D643" s="4"/>
      <c r="E643" s="4"/>
      <c r="F643" s="4"/>
      <c r="G643" s="4"/>
    </row>
    <row r="644" spans="1:7" ht="15.75" x14ac:dyDescent="0.3">
      <c r="A644" t="s">
        <v>1229</v>
      </c>
      <c r="B644" t="str">
        <f>REPLACE(A644,1,9,"75712xx")</f>
        <v>75712xx</v>
      </c>
      <c r="C644" s="3" t="s">
        <v>1230</v>
      </c>
      <c r="D644" s="4"/>
      <c r="E644" s="4"/>
      <c r="F644" s="4"/>
      <c r="G644" s="4"/>
    </row>
    <row r="645" spans="1:7" ht="15.75" x14ac:dyDescent="0.3">
      <c r="A645" t="s">
        <v>1231</v>
      </c>
      <c r="B645" t="str">
        <f>REPLACE(A645,1,9,"75711xx")</f>
        <v>75711xx</v>
      </c>
      <c r="C645" s="3" t="s">
        <v>1232</v>
      </c>
      <c r="D645" s="4"/>
      <c r="E645" s="4"/>
      <c r="F645" s="4"/>
      <c r="G645" s="4"/>
    </row>
    <row r="646" spans="1:7" ht="15.75" x14ac:dyDescent="0.3">
      <c r="A646" t="s">
        <v>1233</v>
      </c>
      <c r="B646" t="str">
        <f>REPLACE(A646,1,9,"75714xx")</f>
        <v>75714xx</v>
      </c>
      <c r="C646" s="3" t="s">
        <v>1234</v>
      </c>
      <c r="D646" s="4"/>
      <c r="E646" s="4"/>
      <c r="F646" s="4"/>
      <c r="G646" s="4"/>
    </row>
    <row r="647" spans="1:7" ht="15.75" x14ac:dyDescent="0.3">
      <c r="A647" t="s">
        <v>1235</v>
      </c>
      <c r="B647" t="str">
        <f>REPLACE(A647,1,9,"75713xx")</f>
        <v>75713xx</v>
      </c>
      <c r="C647" s="3" t="s">
        <v>1236</v>
      </c>
      <c r="D647" s="4"/>
      <c r="E647" s="4"/>
      <c r="F647" s="4"/>
      <c r="G647" s="4"/>
    </row>
    <row r="648" spans="1:7" ht="15.75" x14ac:dyDescent="0.3">
      <c r="A648" t="s">
        <v>1237</v>
      </c>
      <c r="B648" t="str">
        <f>REPLACE(A648,1,9,"75732xx")</f>
        <v>75732xx</v>
      </c>
      <c r="C648" s="3" t="s">
        <v>1238</v>
      </c>
      <c r="D648" s="4"/>
      <c r="E648" s="4"/>
      <c r="F648" s="4"/>
      <c r="G648" s="4"/>
    </row>
    <row r="649" spans="1:7" ht="15.75" x14ac:dyDescent="0.3">
      <c r="A649" t="s">
        <v>1239</v>
      </c>
      <c r="B649" t="str">
        <f>REPLACE(A649,1,9,"75731xx")</f>
        <v>75731xx</v>
      </c>
      <c r="C649" s="3" t="s">
        <v>1240</v>
      </c>
      <c r="D649" s="4"/>
      <c r="E649" s="4"/>
      <c r="F649" s="4"/>
      <c r="G649" s="4"/>
    </row>
    <row r="650" spans="1:7" ht="15.75" x14ac:dyDescent="0.3">
      <c r="A650" t="s">
        <v>1241</v>
      </c>
      <c r="B650" t="str">
        <f>REPLACE(A650,1,9,"75733xx")</f>
        <v>75733xx</v>
      </c>
      <c r="C650" s="3" t="s">
        <v>1242</v>
      </c>
      <c r="D650" s="4"/>
      <c r="E650" s="4"/>
      <c r="F650" s="4"/>
      <c r="G650" s="4"/>
    </row>
    <row r="651" spans="1:7" ht="15.75" x14ac:dyDescent="0.3">
      <c r="A651" t="s">
        <v>1243</v>
      </c>
      <c r="B651" t="str">
        <f>REPLACE(A651,1,9,"75742xx")</f>
        <v>75742xx</v>
      </c>
      <c r="C651" s="3" t="s">
        <v>1244</v>
      </c>
      <c r="D651" s="4"/>
      <c r="E651" s="4"/>
      <c r="F651" s="4"/>
      <c r="G651" s="4"/>
    </row>
    <row r="652" spans="1:7" ht="15.75" x14ac:dyDescent="0.3">
      <c r="A652" t="s">
        <v>1245</v>
      </c>
      <c r="B652" t="str">
        <f>REPLACE(A652,1,9,"75741xx")</f>
        <v>75741xx</v>
      </c>
      <c r="C652" s="3" t="s">
        <v>1246</v>
      </c>
      <c r="D652" s="4"/>
      <c r="E652" s="4"/>
      <c r="F652" s="4"/>
      <c r="G652" s="4"/>
    </row>
    <row r="653" spans="1:7" ht="15.75" x14ac:dyDescent="0.3">
      <c r="A653" t="s">
        <v>1247</v>
      </c>
      <c r="B653" t="str">
        <f>REPLACE(A653,1,9,"75744xx")</f>
        <v>75744xx</v>
      </c>
      <c r="C653" s="3" t="s">
        <v>1248</v>
      </c>
      <c r="D653" s="4"/>
      <c r="E653" s="4"/>
      <c r="F653" s="4"/>
      <c r="G653" s="4"/>
    </row>
    <row r="654" spans="1:7" ht="15.75" x14ac:dyDescent="0.3">
      <c r="A654" t="s">
        <v>1249</v>
      </c>
      <c r="B654" t="str">
        <f>REPLACE(A654,1,9,"75743xx")</f>
        <v>75743xx</v>
      </c>
      <c r="C654" s="3" t="s">
        <v>1250</v>
      </c>
      <c r="D654" s="4"/>
      <c r="E654" s="4"/>
      <c r="F654" s="4"/>
      <c r="G654" s="4"/>
    </row>
    <row r="655" spans="1:7" ht="15.75" x14ac:dyDescent="0.3">
      <c r="A655" t="s">
        <v>1251</v>
      </c>
      <c r="B655" t="str">
        <f>REPLACE(A655,1,9,"75752xx")</f>
        <v>75752xx</v>
      </c>
      <c r="C655" s="3" t="s">
        <v>1252</v>
      </c>
      <c r="D655" s="4"/>
      <c r="E655" s="4"/>
      <c r="F655" s="4"/>
      <c r="G655" s="4"/>
    </row>
    <row r="656" spans="1:7" ht="15.75" x14ac:dyDescent="0.3">
      <c r="A656" t="s">
        <v>1253</v>
      </c>
      <c r="B656" t="str">
        <f>REPLACE(A656,1,9,"75751xx")</f>
        <v>75751xx</v>
      </c>
      <c r="C656" s="3" t="s">
        <v>1254</v>
      </c>
      <c r="D656" s="4"/>
      <c r="E656" s="4"/>
      <c r="F656" s="4"/>
      <c r="G656" s="4"/>
    </row>
    <row r="657" spans="1:7" ht="15.75" x14ac:dyDescent="0.3">
      <c r="A657" t="s">
        <v>1255</v>
      </c>
      <c r="B657" t="str">
        <f>REPLACE(A657,1,9,"75753xx")</f>
        <v>75753xx</v>
      </c>
      <c r="C657" s="3" t="s">
        <v>1256</v>
      </c>
      <c r="D657" s="4"/>
      <c r="E657" s="4"/>
      <c r="F657" s="4"/>
      <c r="G657" s="4"/>
    </row>
    <row r="658" spans="1:7" ht="15.75" x14ac:dyDescent="0.3">
      <c r="A658" t="s">
        <v>1257</v>
      </c>
      <c r="B658" t="str">
        <f>REPLACE(A658,1,9,"75764xx")</f>
        <v>75764xx</v>
      </c>
      <c r="C658" s="3" t="s">
        <v>1258</v>
      </c>
      <c r="D658" s="4"/>
      <c r="E658" s="4"/>
      <c r="F658" s="4"/>
      <c r="G658" s="4"/>
    </row>
    <row r="659" spans="1:7" ht="15.75" x14ac:dyDescent="0.3">
      <c r="A659" t="s">
        <v>1259</v>
      </c>
      <c r="B659" t="str">
        <f>REPLACE(A659,1,9,"75765xx")</f>
        <v>75765xx</v>
      </c>
      <c r="C659" s="3" t="s">
        <v>1258</v>
      </c>
      <c r="D659" s="4"/>
      <c r="E659" s="4"/>
      <c r="F659" s="4"/>
      <c r="G659" s="4"/>
    </row>
    <row r="660" spans="1:7" ht="15.75" x14ac:dyDescent="0.3">
      <c r="A660" t="s">
        <v>1260</v>
      </c>
      <c r="B660" t="str">
        <f>REPLACE(A660,1,9,"75763xx")</f>
        <v>75763xx</v>
      </c>
      <c r="C660" s="3" t="s">
        <v>1261</v>
      </c>
      <c r="D660" s="4"/>
      <c r="E660" s="4"/>
      <c r="F660" s="4"/>
      <c r="G660" s="4"/>
    </row>
    <row r="661" spans="1:7" ht="15.75" x14ac:dyDescent="0.3">
      <c r="A661" t="s">
        <v>1262</v>
      </c>
      <c r="B661" t="str">
        <f>REPLACE(A661,1,9,"75761xx")</f>
        <v>75761xx</v>
      </c>
      <c r="C661" s="3" t="s">
        <v>1263</v>
      </c>
      <c r="D661" s="4"/>
      <c r="E661" s="4"/>
      <c r="F661" s="4"/>
      <c r="G661" s="4"/>
    </row>
    <row r="662" spans="1:7" ht="15.75" x14ac:dyDescent="0.3">
      <c r="A662" t="s">
        <v>1264</v>
      </c>
      <c r="B662" t="str">
        <f>REPLACE(A662,1,9,"75762xx")</f>
        <v>75762xx</v>
      </c>
      <c r="C662" s="3" t="s">
        <v>1265</v>
      </c>
      <c r="D662" s="4"/>
      <c r="E662" s="4"/>
      <c r="F662" s="4"/>
      <c r="G662" s="4"/>
    </row>
    <row r="663" spans="1:7" ht="15.75" x14ac:dyDescent="0.3">
      <c r="A663" t="s">
        <v>1266</v>
      </c>
      <c r="B663" t="str">
        <f>REPLACE(A663,1,9,"75772xx")</f>
        <v>75772xx</v>
      </c>
      <c r="C663" s="3" t="s">
        <v>1267</v>
      </c>
      <c r="D663" s="4"/>
      <c r="E663" s="4"/>
      <c r="F663" s="4"/>
      <c r="G663" s="4"/>
    </row>
    <row r="664" spans="1:7" ht="15.75" x14ac:dyDescent="0.3">
      <c r="A664" t="s">
        <v>1268</v>
      </c>
      <c r="B664" t="str">
        <f>REPLACE(A664,1,9,"75771xx")</f>
        <v>75771xx</v>
      </c>
      <c r="C664" s="3" t="s">
        <v>1269</v>
      </c>
      <c r="D664" s="4"/>
      <c r="E664" s="4"/>
      <c r="F664" s="4"/>
      <c r="G664" s="4"/>
    </row>
    <row r="665" spans="1:7" ht="15.75" x14ac:dyDescent="0.3">
      <c r="A665" t="s">
        <v>1270</v>
      </c>
      <c r="B665" t="str">
        <f>REPLACE(A665,1,9,"75773xx")</f>
        <v>75773xx</v>
      </c>
      <c r="C665" s="3" t="s">
        <v>1271</v>
      </c>
      <c r="D665" s="4"/>
      <c r="E665" s="4"/>
      <c r="F665" s="4"/>
      <c r="G665" s="4"/>
    </row>
    <row r="666" spans="1:7" ht="15.75" x14ac:dyDescent="0.3">
      <c r="A666" t="s">
        <v>1272</v>
      </c>
      <c r="B666" t="str">
        <f>REPLACE(A666,1,9,"75781xx")</f>
        <v>75781xx</v>
      </c>
      <c r="C666" s="3" t="s">
        <v>1273</v>
      </c>
      <c r="D666" s="4"/>
      <c r="E666" s="4"/>
      <c r="F666" s="4"/>
      <c r="G666" s="4"/>
    </row>
    <row r="667" spans="1:7" ht="15.75" x14ac:dyDescent="0.3">
      <c r="A667" t="s">
        <v>1274</v>
      </c>
      <c r="B667" t="str">
        <f>REPLACE(A667,1,9,"75783xx")</f>
        <v>75783xx</v>
      </c>
      <c r="C667" s="3" t="s">
        <v>1275</v>
      </c>
      <c r="D667" s="4"/>
      <c r="E667" s="4"/>
      <c r="F667" s="4"/>
      <c r="G667" s="4"/>
    </row>
    <row r="668" spans="1:7" ht="15.75" x14ac:dyDescent="0.3">
      <c r="A668" t="s">
        <v>1276</v>
      </c>
      <c r="B668" t="str">
        <f>REPLACE(A668,1,9,"75791xx")</f>
        <v>75791xx</v>
      </c>
      <c r="C668" s="3" t="s">
        <v>1277</v>
      </c>
      <c r="D668" s="4"/>
      <c r="E668" s="4"/>
      <c r="F668" s="4"/>
      <c r="G668" s="4"/>
    </row>
    <row r="669" spans="1:7" ht="15.75" x14ac:dyDescent="0.3">
      <c r="A669" t="s">
        <v>1278</v>
      </c>
      <c r="B669" t="str">
        <f>REPLACE(A669,1,9,"75793xx")</f>
        <v>75793xx</v>
      </c>
      <c r="C669" s="3" t="s">
        <v>1279</v>
      </c>
      <c r="D669" s="4"/>
      <c r="E669" s="4"/>
      <c r="F669" s="4"/>
      <c r="G669" s="4"/>
    </row>
    <row r="670" spans="1:7" ht="15.75" x14ac:dyDescent="0.3">
      <c r="A670" t="s">
        <v>1280</v>
      </c>
      <c r="B670" t="str">
        <f>REPLACE(A670,1,9,"75792xx")</f>
        <v>75792xx</v>
      </c>
      <c r="C670" s="3" t="s">
        <v>1281</v>
      </c>
      <c r="D670" s="4"/>
      <c r="E670" s="4"/>
      <c r="F670" s="4"/>
      <c r="G670" s="4"/>
    </row>
    <row r="671" spans="1:7" ht="15.75" x14ac:dyDescent="0.3">
      <c r="A671" t="s">
        <v>1282</v>
      </c>
      <c r="B671" t="str">
        <f>REPLACE(A671,1,9,"75801xx")</f>
        <v>75801xx</v>
      </c>
      <c r="C671" s="3" t="s">
        <v>1283</v>
      </c>
      <c r="D671" s="4"/>
      <c r="E671" s="4"/>
      <c r="F671" s="4"/>
      <c r="G671" s="4"/>
    </row>
    <row r="672" spans="1:7" ht="15.75" x14ac:dyDescent="0.3">
      <c r="A672" t="s">
        <v>1284</v>
      </c>
      <c r="B672" t="str">
        <f>REPLACE(A672,1,9,"75802xx")</f>
        <v>75802xx</v>
      </c>
      <c r="C672" s="3" t="s">
        <v>1285</v>
      </c>
      <c r="D672" s="4"/>
      <c r="E672" s="4"/>
      <c r="F672" s="4"/>
      <c r="G672" s="4"/>
    </row>
    <row r="673" spans="1:7" ht="15.75" x14ac:dyDescent="0.3">
      <c r="A673" t="s">
        <v>1286</v>
      </c>
      <c r="B673" t="str">
        <f>REPLACE(A673,1,9,"75812xx")</f>
        <v>75812xx</v>
      </c>
      <c r="C673" s="3" t="s">
        <v>1287</v>
      </c>
      <c r="D673" s="4"/>
      <c r="E673" s="4"/>
      <c r="F673" s="4"/>
      <c r="G673" s="4"/>
    </row>
    <row r="674" spans="1:7" ht="15.75" x14ac:dyDescent="0.3">
      <c r="A674" t="s">
        <v>1288</v>
      </c>
      <c r="B674" t="str">
        <f>REPLACE(A674,1,9,"75811xx")</f>
        <v>75811xx</v>
      </c>
      <c r="C674" s="3" t="s">
        <v>1289</v>
      </c>
      <c r="D674" s="4"/>
      <c r="E674" s="4"/>
      <c r="F674" s="4"/>
      <c r="G674" s="4"/>
    </row>
    <row r="675" spans="1:7" ht="15.75" x14ac:dyDescent="0.3">
      <c r="A675" t="s">
        <v>1290</v>
      </c>
      <c r="B675" t="str">
        <f>REPLACE(A675,1,9,"75814xx")</f>
        <v>75814xx</v>
      </c>
      <c r="C675" s="3" t="s">
        <v>1291</v>
      </c>
      <c r="D675" s="4"/>
      <c r="E675" s="4"/>
      <c r="F675" s="4"/>
      <c r="G675" s="4"/>
    </row>
    <row r="676" spans="1:7" ht="15.75" x14ac:dyDescent="0.3">
      <c r="A676" t="s">
        <v>1292</v>
      </c>
      <c r="B676" t="str">
        <f>REPLACE(A676,1,9,"75813xx")</f>
        <v>75813xx</v>
      </c>
      <c r="C676" s="3" t="s">
        <v>1293</v>
      </c>
      <c r="D676" s="4"/>
      <c r="E676" s="4"/>
      <c r="F676" s="4"/>
      <c r="G676" s="4"/>
    </row>
    <row r="677" spans="1:7" ht="15.75" x14ac:dyDescent="0.3">
      <c r="A677" t="s">
        <v>1294</v>
      </c>
      <c r="B677" t="str">
        <f>REPLACE(A677,1,9,"75822xx")</f>
        <v>75822xx</v>
      </c>
      <c r="C677" s="3" t="s">
        <v>1295</v>
      </c>
      <c r="D677" s="4"/>
      <c r="E677" s="4"/>
      <c r="F677" s="4"/>
      <c r="G677" s="4"/>
    </row>
    <row r="678" spans="1:7" ht="15.75" x14ac:dyDescent="0.3">
      <c r="A678" t="s">
        <v>1296</v>
      </c>
      <c r="B678" t="str">
        <f>REPLACE(A678,1,9,"75821xx")</f>
        <v>75821xx</v>
      </c>
      <c r="C678" s="3" t="s">
        <v>1297</v>
      </c>
      <c r="D678" s="4"/>
      <c r="E678" s="4"/>
      <c r="F678" s="4"/>
      <c r="G678" s="4"/>
    </row>
    <row r="679" spans="1:7" ht="15.75" x14ac:dyDescent="0.3">
      <c r="A679" t="s">
        <v>1298</v>
      </c>
      <c r="B679" t="str">
        <f>REPLACE(A679,1,9,"75823xx")</f>
        <v>75823xx</v>
      </c>
      <c r="C679" s="3" t="s">
        <v>1299</v>
      </c>
      <c r="D679" s="4"/>
      <c r="E679" s="4"/>
      <c r="F679" s="4"/>
      <c r="G679" s="4"/>
    </row>
    <row r="680" spans="1:7" ht="15.75" x14ac:dyDescent="0.3">
      <c r="A680" t="s">
        <v>1300</v>
      </c>
      <c r="B680" t="str">
        <f>REPLACE(A680,1,9,"75162xx")</f>
        <v>75162xx</v>
      </c>
      <c r="C680" s="3" t="s">
        <v>1301</v>
      </c>
      <c r="D680" s="4"/>
      <c r="E680" s="4"/>
      <c r="F680" s="4"/>
      <c r="G680" s="4"/>
    </row>
    <row r="681" spans="1:7" ht="15.75" x14ac:dyDescent="0.3">
      <c r="A681" t="s">
        <v>1302</v>
      </c>
      <c r="B681" t="str">
        <f>REPLACE(A681,1,9,"75163xx")</f>
        <v>75163xx</v>
      </c>
      <c r="C681" s="3" t="s">
        <v>1303</v>
      </c>
      <c r="D681" s="4"/>
      <c r="E681" s="4"/>
      <c r="F681" s="4"/>
      <c r="G681" s="4"/>
    </row>
    <row r="682" spans="1:7" ht="15.75" x14ac:dyDescent="0.3">
      <c r="A682" t="s">
        <v>1304</v>
      </c>
      <c r="B682" t="str">
        <f>REPLACE(A682,1,9,"75164xx")</f>
        <v>75164xx</v>
      </c>
      <c r="C682" s="3" t="s">
        <v>1305</v>
      </c>
      <c r="D682" s="4"/>
      <c r="E682" s="4"/>
      <c r="F682" s="4"/>
      <c r="G682" s="4"/>
    </row>
    <row r="683" spans="1:7" ht="15.75" x14ac:dyDescent="0.3">
      <c r="A683" t="s">
        <v>1306</v>
      </c>
      <c r="B683" t="str">
        <f>REPLACE(A683,1,9,"75161xx")</f>
        <v>75161xx</v>
      </c>
      <c r="C683" s="3" t="s">
        <v>1307</v>
      </c>
      <c r="D683" s="4"/>
      <c r="E683" s="4"/>
      <c r="F683" s="4"/>
      <c r="G683" s="4"/>
    </row>
    <row r="684" spans="1:7" ht="15.75" x14ac:dyDescent="0.3">
      <c r="A684" t="s">
        <v>1308</v>
      </c>
      <c r="B684" t="str">
        <f>REPLACE(A684,1,9,"75165xx")</f>
        <v>75165xx</v>
      </c>
      <c r="C684" s="3" t="s">
        <v>1309</v>
      </c>
      <c r="D684" s="4"/>
      <c r="E684" s="4"/>
      <c r="F684" s="4"/>
      <c r="G684" s="4"/>
    </row>
    <row r="685" spans="1:7" ht="15.75" x14ac:dyDescent="0.3">
      <c r="A685" t="s">
        <v>1310</v>
      </c>
      <c r="B685" t="str">
        <f>REPLACE(A685,1,9,"79201xx")</f>
        <v>79201xx</v>
      </c>
      <c r="C685" s="3" t="s">
        <v>1311</v>
      </c>
      <c r="D685" s="4"/>
      <c r="E685" s="4"/>
      <c r="F685" s="4"/>
      <c r="G685" s="4"/>
    </row>
    <row r="686" spans="1:7" ht="15.75" x14ac:dyDescent="0.3">
      <c r="A686" t="s">
        <v>1312</v>
      </c>
      <c r="B686" t="str">
        <f>REPLACE(A686,1,9,"79203xx")</f>
        <v>79203xx</v>
      </c>
      <c r="C686" s="3" t="s">
        <v>1313</v>
      </c>
      <c r="D686" s="4"/>
      <c r="E686" s="4"/>
      <c r="F686" s="4"/>
      <c r="G686" s="4"/>
    </row>
    <row r="687" spans="1:7" ht="15.75" x14ac:dyDescent="0.3">
      <c r="A687" t="s">
        <v>1314</v>
      </c>
      <c r="B687" t="str">
        <f>REPLACE(A687,1,9,"79204xx")</f>
        <v>79204xx</v>
      </c>
      <c r="C687" s="3" t="s">
        <v>1315</v>
      </c>
      <c r="D687" s="4"/>
      <c r="E687" s="4"/>
      <c r="F687" s="4"/>
      <c r="G687" s="4"/>
    </row>
    <row r="688" spans="1:7" ht="15.75" x14ac:dyDescent="0.3">
      <c r="A688" t="s">
        <v>1316</v>
      </c>
      <c r="B688" t="str">
        <f>REPLACE(A688,1,9,"79202xx")</f>
        <v>79202xx</v>
      </c>
      <c r="C688" s="3" t="s">
        <v>1317</v>
      </c>
      <c r="D688" s="4"/>
      <c r="E688" s="4"/>
      <c r="F688" s="4"/>
      <c r="G688" s="4"/>
    </row>
    <row r="689" spans="1:7" ht="15.75" x14ac:dyDescent="0.3">
      <c r="A689" t="s">
        <v>1318</v>
      </c>
      <c r="B689" t="str">
        <f>REPLACE(A689,1,9,"79205xx")</f>
        <v>79205xx</v>
      </c>
      <c r="C689" s="3" t="s">
        <v>1319</v>
      </c>
      <c r="D689" s="4"/>
      <c r="E689" s="4"/>
      <c r="F689" s="4"/>
      <c r="G689" s="4"/>
    </row>
    <row r="690" spans="1:7" ht="15.75" x14ac:dyDescent="0.3">
      <c r="A690" t="s">
        <v>1320</v>
      </c>
      <c r="B690" t="str">
        <f>REPLACE(A690,1,9,"79025xx")</f>
        <v>79025xx</v>
      </c>
      <c r="C690" s="3" t="s">
        <v>1321</v>
      </c>
      <c r="D690" s="4"/>
      <c r="E690" s="4"/>
      <c r="F690" s="4"/>
      <c r="G690" s="4"/>
    </row>
    <row r="691" spans="1:7" ht="15.75" x14ac:dyDescent="0.3">
      <c r="A691" t="s">
        <v>1322</v>
      </c>
      <c r="B691" t="str">
        <f>REPLACE(A691,1,9,"79021xx")</f>
        <v>79021xx</v>
      </c>
      <c r="C691" s="3" t="s">
        <v>130</v>
      </c>
      <c r="D691" s="4"/>
      <c r="E691" s="4"/>
      <c r="F691" s="4"/>
      <c r="G691" s="4"/>
    </row>
    <row r="692" spans="1:7" ht="15.75" x14ac:dyDescent="0.3">
      <c r="A692" t="s">
        <v>1323</v>
      </c>
      <c r="B692" t="str">
        <f>REPLACE(A692,1,9,"79024xx")</f>
        <v>79024xx</v>
      </c>
      <c r="C692" s="3" t="s">
        <v>1324</v>
      </c>
      <c r="D692" s="4"/>
      <c r="E692" s="4"/>
      <c r="F692" s="4"/>
      <c r="G692" s="4"/>
    </row>
    <row r="693" spans="1:7" ht="15.75" x14ac:dyDescent="0.3">
      <c r="A693" t="s">
        <v>1325</v>
      </c>
      <c r="B693" t="str">
        <f>REPLACE(A693,1,9,"79022xx")</f>
        <v>79022xx</v>
      </c>
      <c r="C693" s="3" t="s">
        <v>1326</v>
      </c>
      <c r="D693" s="4"/>
      <c r="E693" s="4"/>
      <c r="F693" s="4"/>
      <c r="G693" s="4"/>
    </row>
    <row r="694" spans="1:7" ht="15.75" x14ac:dyDescent="0.3">
      <c r="A694" t="s">
        <v>1327</v>
      </c>
      <c r="B694" t="str">
        <f>REPLACE(A694,1,9,"79023xx")</f>
        <v>79023xx</v>
      </c>
      <c r="C694" s="3" t="s">
        <v>1328</v>
      </c>
      <c r="D694" s="4"/>
      <c r="E694" s="4"/>
      <c r="F694" s="4"/>
      <c r="G694" s="4"/>
    </row>
    <row r="695" spans="1:7" ht="15.75" x14ac:dyDescent="0.3">
      <c r="A695" t="s">
        <v>1329</v>
      </c>
      <c r="B695" t="str">
        <f>REPLACE(A695,1,9,"79031xx")</f>
        <v>79031xx</v>
      </c>
      <c r="C695" s="3" t="s">
        <v>132</v>
      </c>
      <c r="D695" s="4"/>
      <c r="E695" s="4"/>
      <c r="F695" s="4"/>
      <c r="G695" s="4"/>
    </row>
    <row r="696" spans="1:7" ht="15.75" x14ac:dyDescent="0.3">
      <c r="A696" t="s">
        <v>1330</v>
      </c>
      <c r="B696" t="str">
        <f>REPLACE(A696,1,9,"79041xx")</f>
        <v>79041xx</v>
      </c>
      <c r="C696" s="3" t="s">
        <v>134</v>
      </c>
      <c r="D696" s="4"/>
      <c r="E696" s="4"/>
      <c r="F696" s="4"/>
      <c r="G696" s="4"/>
    </row>
    <row r="697" spans="1:7" ht="15.75" x14ac:dyDescent="0.3">
      <c r="A697" t="s">
        <v>1331</v>
      </c>
      <c r="B697" t="str">
        <f>REPLACE(A697,1,9,"79101xx")</f>
        <v>79101xx</v>
      </c>
      <c r="C697" s="3" t="s">
        <v>136</v>
      </c>
      <c r="D697" s="4"/>
      <c r="E697" s="4"/>
      <c r="F697" s="4"/>
      <c r="G697" s="4"/>
    </row>
    <row r="698" spans="1:7" ht="15.75" x14ac:dyDescent="0.3">
      <c r="A698" t="s">
        <v>1332</v>
      </c>
      <c r="B698" t="str">
        <f>REPLACE(A698,1,9,"79121xx")</f>
        <v>79121xx</v>
      </c>
      <c r="C698" s="3" t="s">
        <v>138</v>
      </c>
      <c r="D698" s="4"/>
      <c r="E698" s="4"/>
      <c r="F698" s="4"/>
      <c r="G698" s="4"/>
    </row>
    <row r="699" spans="1:7" ht="15.75" x14ac:dyDescent="0.3">
      <c r="A699" t="s">
        <v>1333</v>
      </c>
      <c r="B699" t="str">
        <f>REPLACE(A699,1,9,"79131xx")</f>
        <v>79131xx</v>
      </c>
      <c r="C699" s="3" t="s">
        <v>140</v>
      </c>
      <c r="D699" s="4"/>
      <c r="E699" s="4"/>
      <c r="F699" s="4"/>
      <c r="G699" s="4"/>
    </row>
    <row r="700" spans="1:7" ht="15.75" x14ac:dyDescent="0.3">
      <c r="A700" t="s">
        <v>1334</v>
      </c>
      <c r="B700" t="str">
        <f>REPLACE(A700,1,9,"79011xx")</f>
        <v>79011xx</v>
      </c>
      <c r="C700" s="3" t="s">
        <v>7</v>
      </c>
      <c r="D700" s="4"/>
      <c r="E700" s="4"/>
      <c r="F700" s="4"/>
      <c r="G700" s="4"/>
    </row>
    <row r="701" spans="1:7" ht="15.75" x14ac:dyDescent="0.3">
      <c r="A701" t="s">
        <v>1335</v>
      </c>
      <c r="B701" t="str">
        <f>REPLACE(A701,1,9,"80021xx")</f>
        <v>80021xx</v>
      </c>
      <c r="C701" s="3" t="s">
        <v>143</v>
      </c>
      <c r="D701" s="4"/>
      <c r="E701" s="4"/>
      <c r="F701" s="4"/>
      <c r="G701" s="4"/>
    </row>
    <row r="702" spans="1:7" ht="15.75" x14ac:dyDescent="0.3">
      <c r="A702" t="s">
        <v>1336</v>
      </c>
      <c r="B702" t="str">
        <f>REPLACE(A702,1,9,"80031xx")</f>
        <v>80031xx</v>
      </c>
      <c r="C702" s="3" t="s">
        <v>145</v>
      </c>
      <c r="D702" s="4"/>
      <c r="E702" s="4"/>
      <c r="F702" s="4"/>
      <c r="G702" s="4"/>
    </row>
    <row r="703" spans="1:7" ht="15.75" x14ac:dyDescent="0.3">
      <c r="A703" t="s">
        <v>1337</v>
      </c>
      <c r="B703" t="str">
        <f>REPLACE(A703,1,9,"80041xx")</f>
        <v>80041xx</v>
      </c>
      <c r="C703" s="3" t="s">
        <v>147</v>
      </c>
      <c r="D703" s="4"/>
      <c r="E703" s="4"/>
      <c r="F703" s="4"/>
      <c r="G703" s="4"/>
    </row>
    <row r="704" spans="1:7" ht="15.75" x14ac:dyDescent="0.3">
      <c r="A704" t="s">
        <v>1338</v>
      </c>
      <c r="B704" t="str">
        <f>REPLACE(A704,1,9,"80051xx")</f>
        <v>80051xx</v>
      </c>
      <c r="C704" s="3" t="s">
        <v>149</v>
      </c>
      <c r="D704" s="4"/>
      <c r="E704" s="4"/>
      <c r="F704" s="4"/>
      <c r="G704" s="4"/>
    </row>
    <row r="705" spans="1:7" ht="15.75" x14ac:dyDescent="0.3">
      <c r="A705" t="s">
        <v>1339</v>
      </c>
      <c r="B705" t="str">
        <f>REPLACE(A705,1,9,"80301xx")</f>
        <v>80301xx</v>
      </c>
      <c r="C705" s="3" t="s">
        <v>151</v>
      </c>
      <c r="D705" s="4"/>
      <c r="E705" s="4"/>
      <c r="F705" s="4"/>
      <c r="G705" s="4"/>
    </row>
    <row r="706" spans="1:7" ht="15.75" x14ac:dyDescent="0.3">
      <c r="A706" t="s">
        <v>1340</v>
      </c>
      <c r="B706" t="str">
        <f>REPLACE(A706,1,9,"80011xx")</f>
        <v>80011xx</v>
      </c>
      <c r="C706" s="3" t="s">
        <v>153</v>
      </c>
      <c r="D706" s="4"/>
      <c r="E706" s="4"/>
      <c r="F706" s="4"/>
      <c r="G706" s="4"/>
    </row>
    <row r="707" spans="1:7" ht="15.75" x14ac:dyDescent="0.3">
      <c r="A707" t="s">
        <v>1341</v>
      </c>
      <c r="B707" t="str">
        <f>REPLACE(A707,1,9,"80101xx")</f>
        <v>80101xx</v>
      </c>
      <c r="C707" s="3" t="s">
        <v>155</v>
      </c>
      <c r="D707" s="4"/>
      <c r="E707" s="4"/>
      <c r="F707" s="4"/>
      <c r="G707" s="4"/>
    </row>
    <row r="708" spans="1:7" ht="15.75" x14ac:dyDescent="0.3">
      <c r="A708" t="s">
        <v>1342</v>
      </c>
      <c r="B708" t="str">
        <f>REPLACE(A708,1,9,"80201xx")</f>
        <v>80201xx</v>
      </c>
      <c r="C708" s="3" t="s">
        <v>157</v>
      </c>
      <c r="D708" s="4"/>
      <c r="E708" s="4"/>
      <c r="F708" s="4"/>
      <c r="G708" s="4"/>
    </row>
    <row r="709" spans="1:7" ht="15.75" x14ac:dyDescent="0.3">
      <c r="A709" t="s">
        <v>1343</v>
      </c>
      <c r="B709" t="str">
        <f>REPLACE(A709,1,9,"82023xx")</f>
        <v>82023xx</v>
      </c>
      <c r="C709" s="3" t="s">
        <v>1344</v>
      </c>
      <c r="D709" s="4"/>
      <c r="E709" s="4"/>
      <c r="F709" s="4"/>
      <c r="G709" s="4"/>
    </row>
    <row r="710" spans="1:7" ht="15.75" x14ac:dyDescent="0.3">
      <c r="A710" t="s">
        <v>1345</v>
      </c>
      <c r="B710" t="str">
        <f>REPLACE(A710,1,9,"82027xx")</f>
        <v>82027xx</v>
      </c>
      <c r="C710" s="3" t="s">
        <v>1346</v>
      </c>
      <c r="D710" s="4"/>
      <c r="E710" s="4"/>
      <c r="F710" s="4"/>
      <c r="G710" s="4"/>
    </row>
    <row r="711" spans="1:7" ht="15.75" x14ac:dyDescent="0.3">
      <c r="A711" t="s">
        <v>1347</v>
      </c>
      <c r="B711" t="str">
        <f>REPLACE(A711,1,9,"82022xx")</f>
        <v>82022xx</v>
      </c>
      <c r="C711" s="3" t="s">
        <v>1348</v>
      </c>
      <c r="D711" s="4"/>
      <c r="E711" s="4"/>
      <c r="F711" s="4"/>
      <c r="G711" s="4"/>
    </row>
    <row r="712" spans="1:7" ht="15.75" x14ac:dyDescent="0.3">
      <c r="A712" t="s">
        <v>1349</v>
      </c>
      <c r="B712" t="str">
        <f>REPLACE(A712,1,9,"82024xx")</f>
        <v>82024xx</v>
      </c>
      <c r="C712" s="3" t="s">
        <v>1350</v>
      </c>
      <c r="D712" s="4"/>
      <c r="E712" s="4"/>
      <c r="F712" s="4"/>
      <c r="G712" s="4"/>
    </row>
    <row r="713" spans="1:7" ht="15.75" x14ac:dyDescent="0.3">
      <c r="A713" t="s">
        <v>1351</v>
      </c>
      <c r="B713" t="str">
        <f>REPLACE(A713,1,9,"82011xx")</f>
        <v>82011xx</v>
      </c>
      <c r="C713" s="3" t="s">
        <v>1352</v>
      </c>
      <c r="D713" s="4"/>
      <c r="E713" s="4"/>
      <c r="F713" s="4"/>
      <c r="G713" s="4"/>
    </row>
    <row r="714" spans="1:7" ht="15.75" x14ac:dyDescent="0.3">
      <c r="A714" t="s">
        <v>1353</v>
      </c>
      <c r="B714" t="str">
        <f>REPLACE(A714,1,9,"82025xx")</f>
        <v>82025xx</v>
      </c>
      <c r="C714" s="3" t="s">
        <v>1354</v>
      </c>
      <c r="D714" s="4"/>
      <c r="E714" s="4"/>
      <c r="F714" s="4"/>
      <c r="G714" s="4"/>
    </row>
    <row r="715" spans="1:7" ht="15.75" x14ac:dyDescent="0.3">
      <c r="A715" t="s">
        <v>1355</v>
      </c>
      <c r="B715" t="str">
        <f>REPLACE(A715,1,9,"82026xx")</f>
        <v>82026xx</v>
      </c>
      <c r="C715" s="3" t="s">
        <v>1356</v>
      </c>
      <c r="D715" s="4"/>
      <c r="E715" s="4"/>
      <c r="F715" s="4"/>
      <c r="G715" s="4"/>
    </row>
    <row r="716" spans="1:7" ht="15.75" x14ac:dyDescent="0.3">
      <c r="A716" t="s">
        <v>1357</v>
      </c>
      <c r="B716" t="str">
        <f>REPLACE(A716,1,9,"8230xxx")</f>
        <v>8230xxx</v>
      </c>
      <c r="C716" s="3" t="s">
        <v>1358</v>
      </c>
      <c r="D716" s="4"/>
      <c r="E716" s="4"/>
      <c r="F716" s="4"/>
      <c r="G716" s="4"/>
    </row>
    <row r="717" spans="1:7" ht="15.75" x14ac:dyDescent="0.3">
      <c r="A717" t="s">
        <v>1359</v>
      </c>
      <c r="B717" t="str">
        <f>REPLACE(A717,1,9,"82301xx")</f>
        <v>82301xx</v>
      </c>
      <c r="C717" s="3" t="s">
        <v>1360</v>
      </c>
      <c r="D717" s="4"/>
      <c r="E717" s="4"/>
      <c r="F717" s="4"/>
      <c r="G717" s="4"/>
    </row>
    <row r="718" spans="1:7" ht="15.75" x14ac:dyDescent="0.3">
      <c r="A718" t="s">
        <v>1361</v>
      </c>
      <c r="B718" t="str">
        <f>REPLACE(A718,1,9,"82304xx")</f>
        <v>82304xx</v>
      </c>
      <c r="C718" s="3" t="s">
        <v>1362</v>
      </c>
      <c r="D718" s="4"/>
      <c r="E718" s="4"/>
      <c r="F718" s="4"/>
      <c r="G718" s="4"/>
    </row>
    <row r="719" spans="1:7" ht="15.75" x14ac:dyDescent="0.3">
      <c r="A719" t="s">
        <v>1363</v>
      </c>
      <c r="B719" t="str">
        <f>REPLACE(A719,1,9,"82312xx")</f>
        <v>82312xx</v>
      </c>
      <c r="C719" s="3" t="s">
        <v>1364</v>
      </c>
      <c r="D719" s="4"/>
      <c r="E719" s="4"/>
      <c r="F719" s="4"/>
      <c r="G719" s="4"/>
    </row>
    <row r="720" spans="1:7" ht="15.75" x14ac:dyDescent="0.3">
      <c r="A720" t="s">
        <v>1365</v>
      </c>
      <c r="B720" t="str">
        <f>REPLACE(A720,1,9,"82311xx")</f>
        <v>82311xx</v>
      </c>
      <c r="C720" s="3" t="s">
        <v>1366</v>
      </c>
      <c r="D720" s="4"/>
      <c r="E720" s="4"/>
      <c r="F720" s="4"/>
      <c r="G720" s="4"/>
    </row>
    <row r="721" spans="1:7" ht="15.75" x14ac:dyDescent="0.3">
      <c r="A721" t="s">
        <v>1367</v>
      </c>
      <c r="B721" t="str">
        <f>REPLACE(A721,1,9,"82314xx")</f>
        <v>82314xx</v>
      </c>
      <c r="C721" s="3" t="s">
        <v>1368</v>
      </c>
      <c r="D721" s="4"/>
      <c r="E721" s="4"/>
      <c r="F721" s="4"/>
      <c r="G721" s="4"/>
    </row>
    <row r="722" spans="1:7" ht="15.75" x14ac:dyDescent="0.3">
      <c r="A722" t="s">
        <v>1369</v>
      </c>
      <c r="B722" t="str">
        <f>REPLACE(A722,1,9,"82322xx")</f>
        <v>82322xx</v>
      </c>
      <c r="C722" s="3" t="s">
        <v>1370</v>
      </c>
      <c r="D722" s="4"/>
      <c r="E722" s="4"/>
      <c r="F722" s="4"/>
      <c r="G722" s="4"/>
    </row>
    <row r="723" spans="1:7" ht="15.75" x14ac:dyDescent="0.3">
      <c r="A723" t="s">
        <v>1371</v>
      </c>
      <c r="B723" t="str">
        <f>REPLACE(A723,1,9,"82321xx")</f>
        <v>82321xx</v>
      </c>
      <c r="C723" s="3" t="s">
        <v>1372</v>
      </c>
      <c r="D723" s="4"/>
      <c r="E723" s="4"/>
      <c r="F723" s="4"/>
      <c r="G723" s="4"/>
    </row>
    <row r="724" spans="1:7" ht="15.75" x14ac:dyDescent="0.3">
      <c r="A724" t="s">
        <v>1373</v>
      </c>
      <c r="B724" t="str">
        <f>REPLACE(A724,1,9,"82324xx")</f>
        <v>82324xx</v>
      </c>
      <c r="C724" s="3" t="s">
        <v>1374</v>
      </c>
      <c r="D724" s="4"/>
      <c r="E724" s="4"/>
      <c r="F724" s="4"/>
      <c r="G724" s="4"/>
    </row>
    <row r="725" spans="1:7" ht="15.75" x14ac:dyDescent="0.3">
      <c r="A725" t="s">
        <v>1375</v>
      </c>
      <c r="B725" t="str">
        <f>REPLACE(A725,1,9,"82332xx")</f>
        <v>82332xx</v>
      </c>
      <c r="C725" s="3" t="s">
        <v>1376</v>
      </c>
      <c r="D725" s="4"/>
      <c r="E725" s="4"/>
      <c r="F725" s="4"/>
      <c r="G725" s="4"/>
    </row>
    <row r="726" spans="1:7" ht="15.75" x14ac:dyDescent="0.3">
      <c r="A726" t="s">
        <v>1377</v>
      </c>
      <c r="B726" t="str">
        <f>REPLACE(A726,1,9,"82331xx")</f>
        <v>82331xx</v>
      </c>
      <c r="C726" s="3" t="s">
        <v>1378</v>
      </c>
      <c r="D726" s="4"/>
      <c r="E726" s="4"/>
      <c r="F726" s="4"/>
      <c r="G726" s="4"/>
    </row>
    <row r="727" spans="1:7" ht="15.75" x14ac:dyDescent="0.3">
      <c r="A727" t="s">
        <v>1379</v>
      </c>
      <c r="B727" t="str">
        <f>REPLACE(A727,1,9,"82334xx")</f>
        <v>82334xx</v>
      </c>
      <c r="C727" s="3" t="s">
        <v>1380</v>
      </c>
      <c r="D727" s="4"/>
      <c r="E727" s="4"/>
      <c r="F727" s="4"/>
      <c r="G727" s="4"/>
    </row>
    <row r="728" spans="1:7" ht="15.75" x14ac:dyDescent="0.3">
      <c r="A728" t="s">
        <v>1381</v>
      </c>
      <c r="B728" t="str">
        <f>REPLACE(A728,1,9,"82342xx")</f>
        <v>82342xx</v>
      </c>
      <c r="C728" s="3" t="s">
        <v>1382</v>
      </c>
      <c r="D728" s="4"/>
      <c r="E728" s="4"/>
      <c r="F728" s="4"/>
      <c r="G728" s="4"/>
    </row>
    <row r="729" spans="1:7" ht="15.75" x14ac:dyDescent="0.3">
      <c r="A729" t="s">
        <v>1383</v>
      </c>
      <c r="B729" t="str">
        <f>REPLACE(A729,1,9,"82341xx")</f>
        <v>82341xx</v>
      </c>
      <c r="C729" s="3" t="s">
        <v>1384</v>
      </c>
      <c r="D729" s="4"/>
      <c r="E729" s="4"/>
      <c r="F729" s="4"/>
      <c r="G729" s="4"/>
    </row>
    <row r="730" spans="1:7" ht="15.75" x14ac:dyDescent="0.3">
      <c r="A730" t="s">
        <v>1385</v>
      </c>
      <c r="B730" t="str">
        <f>REPLACE(A730,1,9,"82344xx")</f>
        <v>82344xx</v>
      </c>
      <c r="C730" s="3" t="s">
        <v>1386</v>
      </c>
      <c r="D730" s="4"/>
      <c r="E730" s="4"/>
      <c r="F730" s="4"/>
      <c r="G730" s="4"/>
    </row>
    <row r="731" spans="1:7" ht="15.75" x14ac:dyDescent="0.3">
      <c r="A731" t="s">
        <v>1387</v>
      </c>
      <c r="B731" t="str">
        <f>REPLACE(A731,1,9,"8210xxx")</f>
        <v>8210xxx</v>
      </c>
      <c r="C731" s="3" t="s">
        <v>1388</v>
      </c>
      <c r="D731" s="4"/>
      <c r="E731" s="4"/>
      <c r="F731" s="4"/>
      <c r="G731" s="4"/>
    </row>
    <row r="732" spans="1:7" ht="15.75" x14ac:dyDescent="0.3">
      <c r="A732" t="s">
        <v>1389</v>
      </c>
      <c r="B732" t="str">
        <f>REPLACE(A732,1,9,"82101xx")</f>
        <v>82101xx</v>
      </c>
      <c r="C732" s="3" t="s">
        <v>1390</v>
      </c>
      <c r="D732" s="4"/>
      <c r="E732" s="4"/>
      <c r="F732" s="4"/>
      <c r="G732" s="4"/>
    </row>
    <row r="733" spans="1:7" ht="15.75" x14ac:dyDescent="0.3">
      <c r="A733" t="s">
        <v>1391</v>
      </c>
      <c r="B733" t="str">
        <f>REPLACE(A733,1,9,"82103xx")</f>
        <v>82103xx</v>
      </c>
      <c r="C733" s="3" t="s">
        <v>1392</v>
      </c>
      <c r="D733" s="4"/>
      <c r="E733" s="4"/>
      <c r="F733" s="4"/>
      <c r="G733" s="4"/>
    </row>
    <row r="734" spans="1:7" ht="15.75" x14ac:dyDescent="0.3">
      <c r="A734" t="s">
        <v>1393</v>
      </c>
      <c r="B734" t="str">
        <f>REPLACE(A734,1,9,"82104xx")</f>
        <v>82104xx</v>
      </c>
      <c r="C734" s="3" t="s">
        <v>1394</v>
      </c>
      <c r="D734" s="4"/>
      <c r="E734" s="4"/>
      <c r="F734" s="4"/>
      <c r="G734" s="4"/>
    </row>
    <row r="735" spans="1:7" ht="15.75" x14ac:dyDescent="0.3">
      <c r="A735" t="s">
        <v>1395</v>
      </c>
      <c r="B735" t="str">
        <f>REPLACE(A735,1,9,"82112xx")</f>
        <v>82112xx</v>
      </c>
      <c r="C735" s="3" t="s">
        <v>1396</v>
      </c>
      <c r="D735" s="4"/>
      <c r="E735" s="4"/>
      <c r="F735" s="4"/>
      <c r="G735" s="4"/>
    </row>
    <row r="736" spans="1:7" ht="15.75" x14ac:dyDescent="0.3">
      <c r="A736" t="s">
        <v>1397</v>
      </c>
      <c r="B736" t="str">
        <f>REPLACE(A736,1,9,"82115xx")</f>
        <v>82115xx</v>
      </c>
      <c r="C736" s="3" t="s">
        <v>1398</v>
      </c>
      <c r="D736" s="4"/>
      <c r="E736" s="4"/>
      <c r="F736" s="4"/>
      <c r="G736" s="4"/>
    </row>
    <row r="737" spans="1:7" ht="15.75" x14ac:dyDescent="0.3">
      <c r="A737" t="s">
        <v>1399</v>
      </c>
      <c r="B737" t="str">
        <f>REPLACE(A737,1,9,"82111xx")</f>
        <v>82111xx</v>
      </c>
      <c r="C737" s="3" t="s">
        <v>1400</v>
      </c>
      <c r="D737" s="4"/>
      <c r="E737" s="4"/>
      <c r="F737" s="4"/>
      <c r="G737" s="4"/>
    </row>
    <row r="738" spans="1:7" ht="15.75" x14ac:dyDescent="0.3">
      <c r="A738" t="s">
        <v>1401</v>
      </c>
      <c r="B738" t="str">
        <f>REPLACE(A738,1,9,"82113xx")</f>
        <v>82113xx</v>
      </c>
      <c r="C738" s="3" t="s">
        <v>1402</v>
      </c>
      <c r="D738" s="4"/>
      <c r="E738" s="4"/>
      <c r="F738" s="4"/>
      <c r="G738" s="4"/>
    </row>
    <row r="739" spans="1:7" ht="15.75" x14ac:dyDescent="0.3">
      <c r="A739" t="s">
        <v>1403</v>
      </c>
      <c r="B739" t="str">
        <f>REPLACE(A739,1,9,"82114xx")</f>
        <v>82114xx</v>
      </c>
      <c r="C739" s="3" t="s">
        <v>1404</v>
      </c>
      <c r="D739" s="4"/>
      <c r="E739" s="4"/>
      <c r="F739" s="4"/>
      <c r="G739" s="4"/>
    </row>
    <row r="740" spans="1:7" ht="15.75" x14ac:dyDescent="0.3">
      <c r="A740" t="s">
        <v>1405</v>
      </c>
      <c r="B740" t="str">
        <f>REPLACE(A740,1,9,"82122xx")</f>
        <v>82122xx</v>
      </c>
      <c r="C740" s="3" t="s">
        <v>1406</v>
      </c>
      <c r="D740" s="4"/>
      <c r="E740" s="4"/>
      <c r="F740" s="4"/>
      <c r="G740" s="4"/>
    </row>
    <row r="741" spans="1:7" ht="15.75" x14ac:dyDescent="0.3">
      <c r="A741" t="s">
        <v>1407</v>
      </c>
      <c r="B741" t="str">
        <f>REPLACE(A741,1,9,"82121xx")</f>
        <v>82121xx</v>
      </c>
      <c r="C741" s="3" t="s">
        <v>1408</v>
      </c>
      <c r="D741" s="4"/>
      <c r="E741" s="4"/>
      <c r="F741" s="4"/>
      <c r="G741" s="4"/>
    </row>
    <row r="742" spans="1:7" ht="15.75" x14ac:dyDescent="0.3">
      <c r="A742" t="s">
        <v>1409</v>
      </c>
      <c r="B742" t="str">
        <f>REPLACE(A742,1,9,"82123xx")</f>
        <v>82123xx</v>
      </c>
      <c r="C742" s="3" t="s">
        <v>1410</v>
      </c>
      <c r="D742" s="4"/>
      <c r="E742" s="4"/>
      <c r="F742" s="4"/>
      <c r="G742" s="4"/>
    </row>
    <row r="743" spans="1:7" ht="15.75" x14ac:dyDescent="0.3">
      <c r="A743" t="s">
        <v>1411</v>
      </c>
      <c r="B743" t="str">
        <f>REPLACE(A743,1,9,"82124xx")</f>
        <v>82124xx</v>
      </c>
      <c r="C743" s="3" t="s">
        <v>1412</v>
      </c>
      <c r="D743" s="4"/>
      <c r="E743" s="4"/>
      <c r="F743" s="4"/>
      <c r="G743" s="4"/>
    </row>
    <row r="744" spans="1:7" ht="15.75" x14ac:dyDescent="0.3">
      <c r="A744" t="s">
        <v>1413</v>
      </c>
      <c r="B744" t="str">
        <f>REPLACE(A744,1,9,"82132xx")</f>
        <v>82132xx</v>
      </c>
      <c r="C744" s="3" t="s">
        <v>1414</v>
      </c>
      <c r="D744" s="4"/>
      <c r="E744" s="4"/>
      <c r="F744" s="4"/>
      <c r="G744" s="4"/>
    </row>
    <row r="745" spans="1:7" ht="15.75" x14ac:dyDescent="0.3">
      <c r="A745" t="s">
        <v>1415</v>
      </c>
      <c r="B745" t="str">
        <f>REPLACE(A745,1,9,"82131xx")</f>
        <v>82131xx</v>
      </c>
      <c r="C745" s="3" t="s">
        <v>1416</v>
      </c>
      <c r="D745" s="4"/>
      <c r="E745" s="4"/>
      <c r="F745" s="4"/>
      <c r="G745" s="4"/>
    </row>
    <row r="746" spans="1:7" ht="15.75" x14ac:dyDescent="0.3">
      <c r="A746" t="s">
        <v>1417</v>
      </c>
      <c r="B746" t="str">
        <f>REPLACE(A746,1,9,"82133xx")</f>
        <v>82133xx</v>
      </c>
      <c r="C746" s="3" t="s">
        <v>1418</v>
      </c>
      <c r="D746" s="4"/>
      <c r="E746" s="4"/>
      <c r="F746" s="4"/>
      <c r="G746" s="4"/>
    </row>
    <row r="747" spans="1:7" ht="15.75" x14ac:dyDescent="0.3">
      <c r="A747" t="s">
        <v>1419</v>
      </c>
      <c r="B747" t="str">
        <f>REPLACE(A747,1,9,"82134xx")</f>
        <v>82134xx</v>
      </c>
      <c r="C747" s="3" t="s">
        <v>1420</v>
      </c>
      <c r="D747" s="4"/>
      <c r="E747" s="4"/>
      <c r="F747" s="4"/>
      <c r="G747" s="4"/>
    </row>
    <row r="748" spans="1:7" ht="15.75" x14ac:dyDescent="0.3">
      <c r="A748" t="s">
        <v>1421</v>
      </c>
      <c r="B748" t="str">
        <f>REPLACE(A748,1,9,"82142xx")</f>
        <v>82142xx</v>
      </c>
      <c r="C748" s="3" t="s">
        <v>1422</v>
      </c>
      <c r="D748" s="4"/>
      <c r="E748" s="4"/>
      <c r="F748" s="4"/>
      <c r="G748" s="4"/>
    </row>
    <row r="749" spans="1:7" ht="15.75" x14ac:dyDescent="0.3">
      <c r="A749" t="s">
        <v>1423</v>
      </c>
      <c r="B749" t="str">
        <f>REPLACE(A749,1,9,"82141xx")</f>
        <v>82141xx</v>
      </c>
      <c r="C749" s="3" t="s">
        <v>1424</v>
      </c>
      <c r="D749" s="4"/>
      <c r="E749" s="4"/>
      <c r="F749" s="4"/>
      <c r="G749" s="4"/>
    </row>
    <row r="750" spans="1:7" ht="15.75" x14ac:dyDescent="0.3">
      <c r="A750" t="s">
        <v>1425</v>
      </c>
      <c r="B750" t="str">
        <f>REPLACE(A750,1,9,"82143xx")</f>
        <v>82143xx</v>
      </c>
      <c r="C750" s="3" t="s">
        <v>1426</v>
      </c>
      <c r="D750" s="4"/>
      <c r="E750" s="4"/>
      <c r="F750" s="4"/>
      <c r="G750" s="4"/>
    </row>
    <row r="751" spans="1:7" ht="15.75" x14ac:dyDescent="0.3">
      <c r="A751" t="s">
        <v>1427</v>
      </c>
      <c r="B751" t="str">
        <f>REPLACE(A751,1,9,"82144xx")</f>
        <v>82144xx</v>
      </c>
      <c r="C751" s="3" t="s">
        <v>1428</v>
      </c>
      <c r="D751" s="4"/>
      <c r="E751" s="4"/>
      <c r="F751" s="4"/>
      <c r="G751" s="4"/>
    </row>
    <row r="752" spans="1:7" ht="15.75" x14ac:dyDescent="0.3">
      <c r="A752" t="s">
        <v>1429</v>
      </c>
      <c r="B752" t="str">
        <f>REPLACE(A752,1,9,"82152xx")</f>
        <v>82152xx</v>
      </c>
      <c r="C752" s="3" t="s">
        <v>1430</v>
      </c>
      <c r="D752" s="4"/>
      <c r="E752" s="4"/>
      <c r="F752" s="4"/>
      <c r="G752" s="4"/>
    </row>
    <row r="753" spans="1:7" ht="15.75" x14ac:dyDescent="0.3">
      <c r="A753" t="s">
        <v>1431</v>
      </c>
      <c r="B753" t="str">
        <f>REPLACE(A753,1,9,"82151xx")</f>
        <v>82151xx</v>
      </c>
      <c r="C753" s="3" t="s">
        <v>1432</v>
      </c>
      <c r="D753" s="4"/>
      <c r="E753" s="4"/>
      <c r="F753" s="4"/>
      <c r="G753" s="4"/>
    </row>
    <row r="754" spans="1:7" ht="15.75" x14ac:dyDescent="0.3">
      <c r="A754" t="s">
        <v>1433</v>
      </c>
      <c r="B754" t="str">
        <f>REPLACE(A754,1,9,"82153xx")</f>
        <v>82153xx</v>
      </c>
      <c r="C754" s="3" t="s">
        <v>1434</v>
      </c>
      <c r="D754" s="4"/>
      <c r="E754" s="4"/>
      <c r="F754" s="4"/>
      <c r="G754" s="4"/>
    </row>
    <row r="755" spans="1:7" ht="15.75" x14ac:dyDescent="0.3">
      <c r="A755" t="s">
        <v>1435</v>
      </c>
      <c r="B755" t="str">
        <f>REPLACE(A755,1,9,"82154xx")</f>
        <v>82154xx</v>
      </c>
      <c r="C755" s="3" t="s">
        <v>1436</v>
      </c>
      <c r="D755" s="4"/>
      <c r="E755" s="4"/>
      <c r="F755" s="4"/>
      <c r="G755" s="4"/>
    </row>
    <row r="756" spans="1:7" ht="15.75" x14ac:dyDescent="0.3">
      <c r="A756" t="s">
        <v>1437</v>
      </c>
      <c r="B756" t="s">
        <v>2298</v>
      </c>
      <c r="C756" s="3" t="s">
        <v>183</v>
      </c>
      <c r="D756" s="4"/>
      <c r="E756" s="4"/>
      <c r="F756" s="4"/>
      <c r="G756" s="4"/>
    </row>
    <row r="757" spans="1:7" ht="15.75" x14ac:dyDescent="0.3">
      <c r="A757" t="s">
        <v>1438</v>
      </c>
      <c r="B757" t="s">
        <v>2321</v>
      </c>
      <c r="C757" s="3" t="s">
        <v>8</v>
      </c>
      <c r="D757" s="4"/>
      <c r="E757" s="4"/>
      <c r="F757" s="4"/>
      <c r="G757" s="4"/>
    </row>
    <row r="758" spans="1:7" ht="15.75" x14ac:dyDescent="0.3">
      <c r="A758" t="s">
        <v>1439</v>
      </c>
      <c r="B758" t="s">
        <v>2322</v>
      </c>
      <c r="C758" s="3" t="s">
        <v>1440</v>
      </c>
      <c r="D758" s="4"/>
      <c r="E758" s="4"/>
      <c r="F758" s="4"/>
      <c r="G758" s="4"/>
    </row>
    <row r="759" spans="1:7" ht="15.75" x14ac:dyDescent="0.3">
      <c r="A759" t="s">
        <v>1441</v>
      </c>
      <c r="B759" t="s">
        <v>2323</v>
      </c>
      <c r="C759" s="3" t="s">
        <v>1442</v>
      </c>
      <c r="D759" s="4"/>
      <c r="E759" s="4"/>
      <c r="F759" s="4"/>
      <c r="G759" s="4"/>
    </row>
    <row r="760" spans="1:7" ht="15.75" x14ac:dyDescent="0.3">
      <c r="A760" t="s">
        <v>1443</v>
      </c>
      <c r="B760" t="s">
        <v>2324</v>
      </c>
      <c r="C760" s="3" t="s">
        <v>1444</v>
      </c>
      <c r="D760" s="4"/>
      <c r="E760" s="4"/>
      <c r="F760" s="4"/>
      <c r="G760" s="4"/>
    </row>
    <row r="761" spans="1:7" ht="15.75" x14ac:dyDescent="0.3">
      <c r="A761" t="s">
        <v>1445</v>
      </c>
      <c r="B761" t="s">
        <v>2325</v>
      </c>
      <c r="C761" s="3" t="s">
        <v>1446</v>
      </c>
      <c r="D761" s="4"/>
      <c r="E761" s="4"/>
      <c r="F761" s="4"/>
      <c r="G761" s="4"/>
    </row>
    <row r="762" spans="1:7" ht="15.75" x14ac:dyDescent="0.3">
      <c r="A762" t="s">
        <v>1447</v>
      </c>
      <c r="B762" t="s">
        <v>2326</v>
      </c>
      <c r="C762" s="3" t="s">
        <v>1448</v>
      </c>
      <c r="D762" s="4"/>
      <c r="E762" s="4"/>
      <c r="F762" s="4"/>
      <c r="G762" s="4"/>
    </row>
    <row r="763" spans="1:7" ht="15.75" x14ac:dyDescent="0.3">
      <c r="A763" t="s">
        <v>1449</v>
      </c>
      <c r="B763" t="s">
        <v>2327</v>
      </c>
      <c r="C763" s="3" t="s">
        <v>1450</v>
      </c>
      <c r="D763" s="4"/>
      <c r="E763" s="4"/>
      <c r="F763" s="4"/>
      <c r="G763" s="4"/>
    </row>
    <row r="764" spans="1:7" ht="15.75" x14ac:dyDescent="0.3">
      <c r="A764" t="s">
        <v>1451</v>
      </c>
      <c r="B764" t="s">
        <v>2302</v>
      </c>
      <c r="C764" s="3" t="s">
        <v>1452</v>
      </c>
      <c r="D764" s="4"/>
      <c r="E764" s="4"/>
      <c r="F764" s="4"/>
      <c r="G764" s="4"/>
    </row>
    <row r="765" spans="1:7" ht="15.75" x14ac:dyDescent="0.3">
      <c r="A765" t="s">
        <v>1453</v>
      </c>
      <c r="B765" t="s">
        <v>2301</v>
      </c>
      <c r="C765" s="3" t="s">
        <v>11</v>
      </c>
      <c r="D765" s="4"/>
      <c r="E765" s="4"/>
      <c r="F765" s="4"/>
      <c r="G765" s="4"/>
    </row>
    <row r="766" spans="1:7" ht="15.75" x14ac:dyDescent="0.3">
      <c r="A766" t="s">
        <v>1454</v>
      </c>
      <c r="B766" t="s">
        <v>2328</v>
      </c>
      <c r="C766" s="3" t="s">
        <v>1455</v>
      </c>
      <c r="D766" s="4"/>
      <c r="E766" s="4"/>
      <c r="F766" s="4"/>
      <c r="G766" s="4"/>
    </row>
    <row r="767" spans="1:7" ht="15.75" x14ac:dyDescent="0.3">
      <c r="A767" t="s">
        <v>1456</v>
      </c>
      <c r="B767" t="s">
        <v>2329</v>
      </c>
      <c r="C767" s="3" t="s">
        <v>1457</v>
      </c>
      <c r="D767" s="4"/>
      <c r="E767" s="4"/>
      <c r="F767" s="4"/>
      <c r="G767" s="4"/>
    </row>
    <row r="768" spans="1:7" ht="15.75" x14ac:dyDescent="0.3">
      <c r="A768" t="s">
        <v>1458</v>
      </c>
      <c r="B768" t="s">
        <v>2330</v>
      </c>
      <c r="C768" s="3" t="s">
        <v>1459</v>
      </c>
      <c r="D768" s="4"/>
      <c r="E768" s="4"/>
      <c r="F768" s="4"/>
      <c r="G768" s="4"/>
    </row>
    <row r="769" spans="1:7" ht="15.75" x14ac:dyDescent="0.3">
      <c r="A769" t="s">
        <v>1460</v>
      </c>
      <c r="B769" t="s">
        <v>2331</v>
      </c>
      <c r="C769" s="3" t="s">
        <v>1461</v>
      </c>
      <c r="D769" s="4"/>
      <c r="E769" s="4"/>
      <c r="F769" s="4"/>
      <c r="G769" s="4"/>
    </row>
    <row r="770" spans="1:7" ht="15.75" x14ac:dyDescent="0.3">
      <c r="A770" t="s">
        <v>1462</v>
      </c>
      <c r="B770" t="s">
        <v>2332</v>
      </c>
      <c r="C770" s="3" t="s">
        <v>1463</v>
      </c>
      <c r="D770" s="4"/>
      <c r="E770" s="4"/>
      <c r="F770" s="4"/>
      <c r="G770" s="4"/>
    </row>
    <row r="771" spans="1:7" ht="15.75" x14ac:dyDescent="0.3">
      <c r="A771" t="s">
        <v>1464</v>
      </c>
      <c r="B771" t="s">
        <v>2333</v>
      </c>
      <c r="C771" s="3" t="s">
        <v>1465</v>
      </c>
      <c r="D771" s="4"/>
      <c r="E771" s="4"/>
      <c r="F771" s="4"/>
      <c r="G771" s="4"/>
    </row>
    <row r="772" spans="1:7" ht="15.75" x14ac:dyDescent="0.3">
      <c r="A772" t="s">
        <v>1466</v>
      </c>
      <c r="B772" t="s">
        <v>2334</v>
      </c>
      <c r="C772" s="3" t="s">
        <v>1467</v>
      </c>
      <c r="D772" s="4"/>
      <c r="E772" s="4"/>
      <c r="F772" s="4"/>
      <c r="G772" s="4"/>
    </row>
    <row r="773" spans="1:7" ht="15.75" x14ac:dyDescent="0.3">
      <c r="A773" t="s">
        <v>1468</v>
      </c>
      <c r="B773" t="s">
        <v>2335</v>
      </c>
      <c r="C773" s="3" t="s">
        <v>1469</v>
      </c>
      <c r="D773" s="4"/>
      <c r="E773" s="4"/>
      <c r="F773" s="4"/>
      <c r="G773" s="4"/>
    </row>
    <row r="774" spans="1:7" ht="15.75" x14ac:dyDescent="0.3">
      <c r="A774" t="s">
        <v>1470</v>
      </c>
      <c r="B774" t="s">
        <v>2336</v>
      </c>
      <c r="C774" s="3" t="s">
        <v>1471</v>
      </c>
      <c r="D774" s="4"/>
      <c r="E774" s="4"/>
      <c r="F774" s="4"/>
      <c r="G774" s="4"/>
    </row>
    <row r="775" spans="1:7" ht="15.75" x14ac:dyDescent="0.3">
      <c r="A775" t="s">
        <v>1472</v>
      </c>
      <c r="B775" t="s">
        <v>2337</v>
      </c>
      <c r="C775" s="3" t="s">
        <v>1473</v>
      </c>
      <c r="D775" s="4"/>
      <c r="E775" s="4"/>
      <c r="F775" s="4"/>
      <c r="G775" s="4"/>
    </row>
    <row r="776" spans="1:7" ht="15.75" x14ac:dyDescent="0.3">
      <c r="A776" t="s">
        <v>1474</v>
      </c>
      <c r="B776" t="s">
        <v>2338</v>
      </c>
      <c r="C776" s="3" t="s">
        <v>1440</v>
      </c>
      <c r="D776" s="4"/>
      <c r="E776" s="4"/>
      <c r="F776" s="4"/>
      <c r="G776" s="4"/>
    </row>
    <row r="777" spans="1:7" ht="15.75" x14ac:dyDescent="0.3">
      <c r="A777" t="s">
        <v>1475</v>
      </c>
      <c r="B777" t="s">
        <v>2339</v>
      </c>
      <c r="C777" s="3" t="s">
        <v>1476</v>
      </c>
      <c r="D777" s="4"/>
      <c r="E777" s="4"/>
      <c r="F777" s="4"/>
      <c r="G777" s="4"/>
    </row>
    <row r="778" spans="1:7" ht="15.75" x14ac:dyDescent="0.3">
      <c r="A778" t="s">
        <v>1477</v>
      </c>
      <c r="B778" t="s">
        <v>2340</v>
      </c>
      <c r="C778" s="3" t="s">
        <v>1478</v>
      </c>
      <c r="D778" s="4"/>
      <c r="E778" s="4"/>
      <c r="F778" s="4"/>
      <c r="G778" s="4"/>
    </row>
    <row r="779" spans="1:7" ht="15.75" x14ac:dyDescent="0.3">
      <c r="A779" t="s">
        <v>1479</v>
      </c>
      <c r="B779" t="s">
        <v>2341</v>
      </c>
      <c r="C779" s="3" t="s">
        <v>1480</v>
      </c>
      <c r="D779" s="4"/>
      <c r="E779" s="4"/>
      <c r="F779" s="4"/>
      <c r="G779" s="4"/>
    </row>
    <row r="780" spans="1:7" ht="15.75" x14ac:dyDescent="0.3">
      <c r="A780" t="s">
        <v>1481</v>
      </c>
      <c r="B780" t="s">
        <v>2307</v>
      </c>
      <c r="C780" s="3" t="s">
        <v>195</v>
      </c>
      <c r="D780" s="4"/>
      <c r="E780" s="4"/>
      <c r="F780" s="4"/>
      <c r="G780" s="4"/>
    </row>
    <row r="781" spans="1:7" ht="15.75" x14ac:dyDescent="0.3">
      <c r="A781" t="s">
        <v>1482</v>
      </c>
      <c r="B781" t="str">
        <f>REPLACE(A781,1,9,"1402xxx")</f>
        <v>1402xxx</v>
      </c>
      <c r="C781" s="3" t="s">
        <v>197</v>
      </c>
      <c r="D781" s="4"/>
      <c r="E781" s="4"/>
      <c r="F781" s="4"/>
      <c r="G781" s="4"/>
    </row>
    <row r="782" spans="1:7" ht="15.75" x14ac:dyDescent="0.3">
      <c r="A782" t="s">
        <v>1483</v>
      </c>
      <c r="B782" t="str">
        <f>REPLACE(A782,1,9,"1403xxx")</f>
        <v>1403xxx</v>
      </c>
      <c r="C782" s="3" t="s">
        <v>199</v>
      </c>
      <c r="D782" s="4"/>
      <c r="E782" s="4"/>
      <c r="F782" s="4"/>
      <c r="G782" s="4"/>
    </row>
    <row r="783" spans="1:7" ht="15.75" x14ac:dyDescent="0.3">
      <c r="A783" t="s">
        <v>1484</v>
      </c>
      <c r="B783" t="str">
        <f>REPLACE(A783,1,9,"14042xx")</f>
        <v>14042xx</v>
      </c>
      <c r="C783" s="3" t="s">
        <v>1485</v>
      </c>
      <c r="D783" s="4"/>
      <c r="E783" s="4"/>
      <c r="F783" s="4"/>
      <c r="G783" s="4"/>
    </row>
    <row r="784" spans="1:7" ht="15.75" x14ac:dyDescent="0.3">
      <c r="A784" t="s">
        <v>1486</v>
      </c>
      <c r="B784" t="str">
        <f>REPLACE(A784,1,9,"14041xx")</f>
        <v>14041xx</v>
      </c>
      <c r="C784" s="3" t="s">
        <v>1487</v>
      </c>
      <c r="D784" s="4"/>
      <c r="E784" s="4"/>
      <c r="F784" s="4"/>
      <c r="G784" s="4"/>
    </row>
    <row r="785" spans="1:7" ht="15.75" x14ac:dyDescent="0.3">
      <c r="A785" t="s">
        <v>1488</v>
      </c>
      <c r="B785" t="s">
        <v>2342</v>
      </c>
      <c r="C785" s="3" t="s">
        <v>203</v>
      </c>
      <c r="D785" s="4"/>
      <c r="E785" s="4"/>
      <c r="F785" s="4"/>
      <c r="G785" s="4"/>
    </row>
    <row r="786" spans="1:7" ht="15.75" x14ac:dyDescent="0.3">
      <c r="A786" t="s">
        <v>1489</v>
      </c>
      <c r="B786" t="s">
        <v>2343</v>
      </c>
      <c r="C786" s="3" t="s">
        <v>1490</v>
      </c>
      <c r="D786" s="4"/>
      <c r="E786" s="4"/>
      <c r="F786" s="4"/>
      <c r="G786" s="4"/>
    </row>
    <row r="787" spans="1:7" ht="15.75" x14ac:dyDescent="0.3">
      <c r="A787" t="s">
        <v>1491</v>
      </c>
      <c r="B787" t="s">
        <v>2344</v>
      </c>
      <c r="C787" s="3" t="s">
        <v>1492</v>
      </c>
      <c r="D787" s="4"/>
      <c r="E787" s="4"/>
      <c r="F787" s="4"/>
      <c r="G787" s="4"/>
    </row>
    <row r="788" spans="1:7" ht="15.75" x14ac:dyDescent="0.3">
      <c r="A788" t="s">
        <v>1493</v>
      </c>
      <c r="B788" t="s">
        <v>2346</v>
      </c>
      <c r="C788" s="3" t="s">
        <v>1494</v>
      </c>
      <c r="D788" s="4"/>
      <c r="E788" s="4"/>
      <c r="F788" s="4"/>
      <c r="G788" s="4"/>
    </row>
    <row r="789" spans="1:7" ht="15.75" x14ac:dyDescent="0.3">
      <c r="A789" t="s">
        <v>1495</v>
      </c>
      <c r="B789" t="s">
        <v>2345</v>
      </c>
      <c r="C789" s="3" t="s">
        <v>1496</v>
      </c>
      <c r="D789" s="4"/>
      <c r="E789" s="4"/>
      <c r="F789" s="4"/>
      <c r="G789" s="4"/>
    </row>
    <row r="790" spans="1:7" ht="15.75" x14ac:dyDescent="0.3">
      <c r="A790" t="s">
        <v>1497</v>
      </c>
      <c r="B790" t="s">
        <v>2347</v>
      </c>
      <c r="C790" s="3" t="s">
        <v>1498</v>
      </c>
      <c r="D790" s="4"/>
      <c r="E790" s="4"/>
      <c r="F790" s="4"/>
      <c r="G790" s="4"/>
    </row>
    <row r="791" spans="1:7" ht="15.75" x14ac:dyDescent="0.3">
      <c r="A791" t="s">
        <v>1499</v>
      </c>
      <c r="B791" t="s">
        <v>2348</v>
      </c>
      <c r="C791" s="3" t="s">
        <v>1500</v>
      </c>
      <c r="D791" s="4"/>
      <c r="E791" s="4"/>
      <c r="F791" s="4"/>
      <c r="G791" s="4"/>
    </row>
    <row r="792" spans="1:7" ht="15.75" x14ac:dyDescent="0.3">
      <c r="A792" t="s">
        <v>1501</v>
      </c>
      <c r="B792" t="s">
        <v>2349</v>
      </c>
      <c r="C792" s="3" t="s">
        <v>207</v>
      </c>
      <c r="D792" s="4"/>
      <c r="E792" s="4"/>
      <c r="F792" s="4"/>
      <c r="G792" s="4"/>
    </row>
    <row r="793" spans="1:7" ht="15.75" x14ac:dyDescent="0.3">
      <c r="A793" t="s">
        <v>1502</v>
      </c>
      <c r="B793" t="s">
        <v>2350</v>
      </c>
      <c r="C793" s="3" t="s">
        <v>209</v>
      </c>
      <c r="D793" s="4"/>
      <c r="E793" s="4"/>
      <c r="F793" s="4"/>
      <c r="G793" s="4"/>
    </row>
    <row r="794" spans="1:7" ht="15.75" x14ac:dyDescent="0.3">
      <c r="A794" t="s">
        <v>1503</v>
      </c>
      <c r="B794" t="s">
        <v>2351</v>
      </c>
      <c r="C794" s="3" t="s">
        <v>211</v>
      </c>
      <c r="D794" s="4"/>
      <c r="E794" s="4"/>
      <c r="F794" s="4"/>
      <c r="G794" s="4"/>
    </row>
    <row r="795" spans="1:7" ht="15.75" x14ac:dyDescent="0.3">
      <c r="A795" t="s">
        <v>1504</v>
      </c>
      <c r="B795" t="s">
        <v>2352</v>
      </c>
      <c r="C795" s="3" t="s">
        <v>213</v>
      </c>
      <c r="D795" s="4"/>
      <c r="E795" s="4"/>
      <c r="F795" s="4"/>
      <c r="G795" s="4"/>
    </row>
    <row r="796" spans="1:7" ht="15.75" x14ac:dyDescent="0.3">
      <c r="A796" t="s">
        <v>1505</v>
      </c>
      <c r="B796" t="str">
        <f>REPLACE(A796,1,9,"1620xxx")</f>
        <v>1620xxx</v>
      </c>
      <c r="C796" s="3" t="s">
        <v>215</v>
      </c>
      <c r="D796" s="4"/>
      <c r="E796" s="4"/>
      <c r="F796" s="4"/>
      <c r="G796" s="4"/>
    </row>
    <row r="797" spans="1:7" ht="15.75" x14ac:dyDescent="0.3">
      <c r="A797" t="s">
        <v>1506</v>
      </c>
      <c r="B797" t="str">
        <f>REPLACE(A797,1,9,"1621xxx")</f>
        <v>1621xxx</v>
      </c>
      <c r="C797" s="3" t="s">
        <v>217</v>
      </c>
      <c r="D797" s="4"/>
      <c r="E797" s="4"/>
      <c r="F797" s="4"/>
      <c r="G797" s="4"/>
    </row>
    <row r="798" spans="1:7" ht="15.75" x14ac:dyDescent="0.3">
      <c r="A798" t="s">
        <v>1507</v>
      </c>
      <c r="B798" t="str">
        <f>REPLACE(A798,1,9,"1622xxx")</f>
        <v>1622xxx</v>
      </c>
      <c r="C798" s="3" t="s">
        <v>219</v>
      </c>
      <c r="D798" s="4"/>
      <c r="E798" s="4"/>
      <c r="F798" s="4"/>
      <c r="G798" s="4"/>
    </row>
    <row r="799" spans="1:7" ht="15.75" x14ac:dyDescent="0.3">
      <c r="A799" t="s">
        <v>1508</v>
      </c>
      <c r="B799" t="str">
        <f>REPLACE(A799,1,9,"1625xxx")</f>
        <v>1625xxx</v>
      </c>
      <c r="C799" s="3" t="s">
        <v>221</v>
      </c>
      <c r="D799" s="4"/>
      <c r="E799" s="4"/>
      <c r="F799" s="4"/>
      <c r="G799" s="4"/>
    </row>
    <row r="800" spans="1:7" ht="15.75" x14ac:dyDescent="0.3">
      <c r="A800" t="s">
        <v>1509</v>
      </c>
      <c r="B800" t="str">
        <f>REPLACE(A800,1,9,"1627xxx")</f>
        <v>1627xxx</v>
      </c>
      <c r="C800" s="3" t="s">
        <v>1510</v>
      </c>
      <c r="D800" s="4"/>
      <c r="E800" s="4"/>
      <c r="F800" s="4"/>
      <c r="G800" s="4"/>
    </row>
    <row r="801" spans="1:7" ht="15.75" x14ac:dyDescent="0.3">
      <c r="A801" t="s">
        <v>1511</v>
      </c>
      <c r="B801" t="str">
        <f>REPLACE(A801,1,9,"1628xxx")</f>
        <v>1628xxx</v>
      </c>
      <c r="C801" s="3" t="s">
        <v>1512</v>
      </c>
      <c r="D801" s="4"/>
      <c r="E801" s="4"/>
      <c r="F801" s="4"/>
      <c r="G801" s="4"/>
    </row>
    <row r="802" spans="1:7" ht="15.75" x14ac:dyDescent="0.3">
      <c r="A802" t="s">
        <v>1513</v>
      </c>
      <c r="B802" t="str">
        <f>REPLACE(A802,1,9,"1630xxx")</f>
        <v>1630xxx</v>
      </c>
      <c r="C802" s="3" t="s">
        <v>227</v>
      </c>
      <c r="D802" s="4"/>
      <c r="E802" s="4"/>
      <c r="F802" s="4"/>
      <c r="G802" s="4"/>
    </row>
    <row r="803" spans="1:7" ht="15.75" x14ac:dyDescent="0.3">
      <c r="A803" t="s">
        <v>1514</v>
      </c>
      <c r="B803" t="str">
        <f>REPLACE(A803,1,9,"1661xxx")</f>
        <v>1661xxx</v>
      </c>
      <c r="C803" s="3" t="s">
        <v>14</v>
      </c>
      <c r="D803" s="4"/>
      <c r="E803" s="4"/>
      <c r="F803" s="4"/>
      <c r="G803" s="4"/>
    </row>
    <row r="804" spans="1:7" ht="15.75" x14ac:dyDescent="0.3">
      <c r="A804" t="s">
        <v>1515</v>
      </c>
      <c r="B804" t="str">
        <f>REPLACE(A804,1,9,"16067xx")</f>
        <v>16067xx</v>
      </c>
      <c r="C804" s="3" t="s">
        <v>1516</v>
      </c>
      <c r="D804" s="4"/>
      <c r="E804" s="4"/>
      <c r="F804" s="4"/>
      <c r="G804" s="4"/>
    </row>
    <row r="805" spans="1:7" ht="15.75" x14ac:dyDescent="0.3">
      <c r="A805" t="s">
        <v>1517</v>
      </c>
      <c r="B805" t="str">
        <f>REPLACE(A805,1,9,"16064xx")</f>
        <v>16064xx</v>
      </c>
      <c r="C805" s="3" t="s">
        <v>1518</v>
      </c>
      <c r="D805" s="4"/>
      <c r="E805" s="4"/>
      <c r="F805" s="4"/>
      <c r="G805" s="4"/>
    </row>
    <row r="806" spans="1:7" ht="15.75" x14ac:dyDescent="0.3">
      <c r="A806" t="s">
        <v>1519</v>
      </c>
      <c r="B806" t="str">
        <f>REPLACE(A806,1,9,"16062xx")</f>
        <v>16062xx</v>
      </c>
      <c r="C806" s="3" t="s">
        <v>1520</v>
      </c>
      <c r="D806" s="4"/>
      <c r="E806" s="4"/>
      <c r="F806" s="4"/>
      <c r="G806" s="4"/>
    </row>
    <row r="807" spans="1:7" ht="15.75" x14ac:dyDescent="0.3">
      <c r="A807" t="s">
        <v>1521</v>
      </c>
      <c r="B807" t="str">
        <f>REPLACE(A807,1,9,"16066xx")</f>
        <v>16066xx</v>
      </c>
      <c r="C807" s="3" t="s">
        <v>1522</v>
      </c>
      <c r="D807" s="4"/>
      <c r="E807" s="4"/>
      <c r="F807" s="4"/>
      <c r="G807" s="4"/>
    </row>
    <row r="808" spans="1:7" ht="15.75" x14ac:dyDescent="0.3">
      <c r="A808" t="s">
        <v>1523</v>
      </c>
      <c r="B808" t="str">
        <f>REPLACE(A808,1,9,"16063xx")</f>
        <v>16063xx</v>
      </c>
      <c r="C808" s="3" t="s">
        <v>1524</v>
      </c>
      <c r="D808" s="4"/>
      <c r="E808" s="4"/>
      <c r="F808" s="4"/>
      <c r="G808" s="4"/>
    </row>
    <row r="809" spans="1:7" ht="15.75" x14ac:dyDescent="0.3">
      <c r="A809" t="s">
        <v>1525</v>
      </c>
      <c r="B809" t="str">
        <f>REPLACE(A809,1,9,"16065xx")</f>
        <v>16065xx</v>
      </c>
      <c r="C809" s="3" t="s">
        <v>1526</v>
      </c>
      <c r="D809" s="4"/>
      <c r="E809" s="4"/>
      <c r="F809" s="4"/>
      <c r="G809" s="4"/>
    </row>
    <row r="810" spans="1:7" ht="15.75" x14ac:dyDescent="0.3">
      <c r="A810" t="s">
        <v>1527</v>
      </c>
      <c r="B810" t="str">
        <f>REPLACE(A810,1,9,"16061xx")</f>
        <v>16061xx</v>
      </c>
      <c r="C810" s="3" t="s">
        <v>1528</v>
      </c>
      <c r="D810" s="4"/>
      <c r="E810" s="4"/>
      <c r="F810" s="4"/>
      <c r="G810" s="4"/>
    </row>
    <row r="811" spans="1:7" ht="15.75" x14ac:dyDescent="0.3">
      <c r="A811" t="s">
        <v>1529</v>
      </c>
      <c r="B811" t="str">
        <f>REPLACE(A811,1,9,"1610xxx")</f>
        <v>1610xxx</v>
      </c>
      <c r="C811" s="3" t="s">
        <v>1530</v>
      </c>
      <c r="D811" s="4"/>
      <c r="E811" s="4"/>
      <c r="F811" s="4"/>
      <c r="G811" s="4"/>
    </row>
    <row r="812" spans="1:7" ht="15.75" x14ac:dyDescent="0.3">
      <c r="A812" t="s">
        <v>1531</v>
      </c>
      <c r="B812" t="str">
        <f>REPLACE(A812,1,9,"1611xxx")</f>
        <v>1611xxx</v>
      </c>
      <c r="C812" s="3" t="s">
        <v>233</v>
      </c>
      <c r="D812" s="4"/>
      <c r="E812" s="4"/>
      <c r="F812" s="4"/>
      <c r="G812" s="4"/>
    </row>
    <row r="813" spans="1:7" ht="15.75" x14ac:dyDescent="0.3">
      <c r="A813" t="s">
        <v>1532</v>
      </c>
      <c r="B813" t="str">
        <f>REPLACE(A813,1,9,"16123xx")</f>
        <v>16123xx</v>
      </c>
      <c r="C813" s="3" t="s">
        <v>1533</v>
      </c>
      <c r="D813" s="4"/>
      <c r="E813" s="4"/>
      <c r="F813" s="4"/>
      <c r="G813" s="4"/>
    </row>
    <row r="814" spans="1:7" ht="15.75" x14ac:dyDescent="0.3">
      <c r="A814" t="s">
        <v>1534</v>
      </c>
      <c r="B814" t="str">
        <f>REPLACE(A814,1,9,"16122xx")</f>
        <v>16122xx</v>
      </c>
      <c r="C814" s="3" t="s">
        <v>1535</v>
      </c>
      <c r="D814" s="4"/>
      <c r="E814" s="4"/>
      <c r="F814" s="4"/>
      <c r="G814" s="4"/>
    </row>
    <row r="815" spans="1:7" ht="15.75" x14ac:dyDescent="0.3">
      <c r="A815" t="s">
        <v>1536</v>
      </c>
      <c r="B815" t="str">
        <f>REPLACE(A815,1,9,"16121xx")</f>
        <v>16121xx</v>
      </c>
      <c r="C815" s="3" t="s">
        <v>235</v>
      </c>
      <c r="D815" s="4"/>
      <c r="E815" s="4"/>
      <c r="F815" s="4"/>
      <c r="G815" s="4"/>
    </row>
    <row r="816" spans="1:7" ht="15.75" x14ac:dyDescent="0.3">
      <c r="A816" t="s">
        <v>1537</v>
      </c>
      <c r="B816" t="str">
        <f>REPLACE(A816,1,9,"1613xxx")</f>
        <v>1613xxx</v>
      </c>
      <c r="C816" s="3" t="s">
        <v>237</v>
      </c>
      <c r="D816" s="4"/>
      <c r="E816" s="4"/>
      <c r="F816" s="4"/>
      <c r="G816" s="4"/>
    </row>
    <row r="817" spans="1:7" ht="15.75" x14ac:dyDescent="0.3">
      <c r="A817" t="s">
        <v>1538</v>
      </c>
      <c r="B817" t="str">
        <f>REPLACE(A817,1,9,"1614xxx")</f>
        <v>1614xxx</v>
      </c>
      <c r="C817" s="3" t="s">
        <v>239</v>
      </c>
      <c r="D817" s="4"/>
      <c r="E817" s="4"/>
      <c r="F817" s="4"/>
      <c r="G817" s="4"/>
    </row>
    <row r="818" spans="1:7" ht="15.75" x14ac:dyDescent="0.3">
      <c r="A818" t="s">
        <v>1539</v>
      </c>
      <c r="B818" t="str">
        <f>REPLACE(A818,1,9,"16152xx")</f>
        <v>16152xx</v>
      </c>
      <c r="C818" s="3" t="s">
        <v>1540</v>
      </c>
      <c r="D818" s="4"/>
      <c r="E818" s="4"/>
      <c r="F818" s="4"/>
      <c r="G818" s="4"/>
    </row>
    <row r="819" spans="1:7" ht="15.75" x14ac:dyDescent="0.3">
      <c r="A819" t="s">
        <v>1541</v>
      </c>
      <c r="B819" t="str">
        <f>REPLACE(A819,1,9,"16151xx")</f>
        <v>16151xx</v>
      </c>
      <c r="C819" s="3" t="s">
        <v>241</v>
      </c>
      <c r="D819" s="4"/>
      <c r="E819" s="4"/>
      <c r="F819" s="4"/>
      <c r="G819" s="4"/>
    </row>
    <row r="820" spans="1:7" ht="15.75" x14ac:dyDescent="0.3">
      <c r="A820" t="s">
        <v>1542</v>
      </c>
      <c r="B820" t="str">
        <f>REPLACE(A820,1,9,"16153xx")</f>
        <v>16153xx</v>
      </c>
      <c r="C820" s="3" t="s">
        <v>1543</v>
      </c>
      <c r="D820" s="4"/>
      <c r="E820" s="4"/>
      <c r="F820" s="4"/>
      <c r="G820" s="4"/>
    </row>
    <row r="821" spans="1:7" ht="15.75" x14ac:dyDescent="0.3">
      <c r="A821" t="s">
        <v>1544</v>
      </c>
      <c r="B821" t="s">
        <v>2353</v>
      </c>
      <c r="C821" s="3" t="s">
        <v>243</v>
      </c>
      <c r="D821" s="4"/>
      <c r="E821" s="4"/>
      <c r="F821" s="4"/>
      <c r="G821" s="4"/>
    </row>
    <row r="822" spans="1:7" ht="15.75" x14ac:dyDescent="0.3">
      <c r="A822" t="s">
        <v>1545</v>
      </c>
      <c r="B822" t="s">
        <v>2354</v>
      </c>
      <c r="C822" s="3" t="s">
        <v>1546</v>
      </c>
      <c r="D822" s="4"/>
      <c r="E822" s="4"/>
      <c r="F822" s="4"/>
      <c r="G822" s="4"/>
    </row>
    <row r="823" spans="1:7" ht="15.75" x14ac:dyDescent="0.3">
      <c r="A823" t="s">
        <v>1547</v>
      </c>
      <c r="B823" t="s">
        <v>2355</v>
      </c>
      <c r="C823" s="3" t="s">
        <v>1548</v>
      </c>
      <c r="D823" s="4"/>
      <c r="E823" s="4"/>
      <c r="F823" s="4"/>
      <c r="G823" s="4"/>
    </row>
    <row r="824" spans="1:7" ht="15.75" x14ac:dyDescent="0.3">
      <c r="A824" t="s">
        <v>1549</v>
      </c>
      <c r="B824" t="s">
        <v>2356</v>
      </c>
      <c r="C824" s="3" t="s">
        <v>1550</v>
      </c>
      <c r="D824" s="4"/>
      <c r="E824" s="4"/>
      <c r="F824" s="4"/>
      <c r="G824" s="4"/>
    </row>
    <row r="825" spans="1:7" ht="15.75" x14ac:dyDescent="0.3">
      <c r="A825" t="s">
        <v>1551</v>
      </c>
      <c r="B825" t="s">
        <v>2357</v>
      </c>
      <c r="C825" s="3" t="s">
        <v>1552</v>
      </c>
      <c r="D825" s="4"/>
      <c r="E825" s="4"/>
      <c r="F825" s="4"/>
      <c r="G825" s="4"/>
    </row>
    <row r="826" spans="1:7" ht="15.75" x14ac:dyDescent="0.3">
      <c r="A826" t="s">
        <v>1553</v>
      </c>
      <c r="B826" t="s">
        <v>2358</v>
      </c>
      <c r="C826" s="3" t="s">
        <v>247</v>
      </c>
      <c r="D826" s="4"/>
      <c r="E826" s="4"/>
      <c r="F826" s="4"/>
      <c r="G826" s="4"/>
    </row>
    <row r="827" spans="1:7" ht="15.75" x14ac:dyDescent="0.3">
      <c r="A827" t="s">
        <v>1554</v>
      </c>
      <c r="B827" t="s">
        <v>2359</v>
      </c>
      <c r="C827" s="3" t="s">
        <v>16</v>
      </c>
      <c r="D827" s="4"/>
      <c r="E827" s="4"/>
      <c r="F827" s="4"/>
      <c r="G827" s="4"/>
    </row>
    <row r="828" spans="1:7" ht="15.75" x14ac:dyDescent="0.3">
      <c r="A828" t="s">
        <v>1555</v>
      </c>
      <c r="B828" t="str">
        <f>REPLACE(A828,1,9,"1802xxx")</f>
        <v>1802xxx</v>
      </c>
      <c r="C828" s="3" t="s">
        <v>250</v>
      </c>
      <c r="D828" s="4"/>
      <c r="E828" s="4"/>
      <c r="F828" s="4"/>
      <c r="G828" s="4"/>
    </row>
    <row r="829" spans="1:7" ht="15.75" x14ac:dyDescent="0.3">
      <c r="A829" t="s">
        <v>1556</v>
      </c>
      <c r="B829" t="str">
        <f>REPLACE(A829,1,9,"1803xxx")</f>
        <v>1803xxx</v>
      </c>
      <c r="C829" s="3" t="s">
        <v>252</v>
      </c>
      <c r="D829" s="4"/>
      <c r="E829" s="4"/>
      <c r="F829" s="4"/>
      <c r="G829" s="4"/>
    </row>
    <row r="830" spans="1:7" ht="15.75" x14ac:dyDescent="0.3">
      <c r="A830" t="s">
        <v>1557</v>
      </c>
      <c r="B830" t="str">
        <f>REPLACE(A830,1,9,"1804xxx")</f>
        <v>1804xxx</v>
      </c>
      <c r="C830" s="3" t="s">
        <v>254</v>
      </c>
      <c r="D830" s="4"/>
      <c r="E830" s="4"/>
      <c r="F830" s="4"/>
      <c r="G830" s="4"/>
    </row>
    <row r="831" spans="1:7" ht="15.75" x14ac:dyDescent="0.3">
      <c r="A831" t="s">
        <v>1558</v>
      </c>
      <c r="B831" t="str">
        <f>REPLACE(A831,1,9,"1805xxx")</f>
        <v>1805xxx</v>
      </c>
      <c r="C831" s="3" t="s">
        <v>256</v>
      </c>
      <c r="D831" s="4"/>
      <c r="E831" s="4"/>
      <c r="F831" s="4"/>
      <c r="G831" s="4"/>
    </row>
    <row r="832" spans="1:7" ht="15.75" x14ac:dyDescent="0.3">
      <c r="A832" t="s">
        <v>1559</v>
      </c>
      <c r="B832" t="str">
        <f>REPLACE(A832,1,9,"1810xxx")</f>
        <v>1810xxx</v>
      </c>
      <c r="C832" s="3" t="s">
        <v>258</v>
      </c>
      <c r="D832" s="4"/>
      <c r="E832" s="4"/>
      <c r="F832" s="4"/>
      <c r="G832" s="4"/>
    </row>
    <row r="833" spans="1:7" ht="15.75" x14ac:dyDescent="0.3">
      <c r="A833" t="s">
        <v>1560</v>
      </c>
      <c r="B833" t="str">
        <f>REPLACE(A833,1,9,"1801xxx")</f>
        <v>1801xxx</v>
      </c>
      <c r="C833" s="3" t="s">
        <v>17</v>
      </c>
      <c r="D833" s="4"/>
      <c r="E833" s="4"/>
      <c r="F833" s="4"/>
      <c r="G833" s="4"/>
    </row>
    <row r="834" spans="1:7" ht="15.75" x14ac:dyDescent="0.3">
      <c r="A834" t="s">
        <v>1561</v>
      </c>
      <c r="B834" t="str">
        <f>REPLACE(A834,1,9,"18123xx")</f>
        <v>18123xx</v>
      </c>
      <c r="C834" s="3" t="s">
        <v>1562</v>
      </c>
      <c r="D834" s="4"/>
      <c r="E834" s="4"/>
      <c r="F834" s="4"/>
      <c r="G834" s="4"/>
    </row>
    <row r="835" spans="1:7" ht="15.75" x14ac:dyDescent="0.3">
      <c r="A835" t="s">
        <v>1563</v>
      </c>
      <c r="B835" t="str">
        <f>REPLACE(A835,1,9,"18126xx")</f>
        <v>18126xx</v>
      </c>
      <c r="C835" s="3" t="s">
        <v>1564</v>
      </c>
      <c r="D835" s="4"/>
      <c r="E835" s="4"/>
      <c r="F835" s="4"/>
      <c r="G835" s="4"/>
    </row>
    <row r="836" spans="1:7" ht="15.75" x14ac:dyDescent="0.3">
      <c r="A836" t="s">
        <v>1565</v>
      </c>
      <c r="B836" t="str">
        <f>REPLACE(A836,1,9,"18122xx")</f>
        <v>18122xx</v>
      </c>
      <c r="C836" s="3" t="s">
        <v>1566</v>
      </c>
      <c r="D836" s="4"/>
      <c r="E836" s="4"/>
      <c r="F836" s="4"/>
      <c r="G836" s="4"/>
    </row>
    <row r="837" spans="1:7" ht="15.75" x14ac:dyDescent="0.3">
      <c r="A837" t="s">
        <v>1567</v>
      </c>
      <c r="B837" t="str">
        <f>REPLACE(A837,1,9,"18121xx")</f>
        <v>18121xx</v>
      </c>
      <c r="C837" s="3" t="s">
        <v>1568</v>
      </c>
      <c r="D837" s="4"/>
      <c r="E837" s="4"/>
      <c r="F837" s="4"/>
      <c r="G837" s="4"/>
    </row>
    <row r="838" spans="1:7" ht="15.75" x14ac:dyDescent="0.3">
      <c r="A838" t="s">
        <v>1569</v>
      </c>
      <c r="B838" t="str">
        <f>REPLACE(A838,1,9,"18125xx")</f>
        <v>18125xx</v>
      </c>
      <c r="C838" s="3" t="s">
        <v>1570</v>
      </c>
      <c r="D838" s="4"/>
      <c r="E838" s="4"/>
      <c r="F838" s="4"/>
      <c r="G838" s="4"/>
    </row>
    <row r="839" spans="1:7" ht="15.75" x14ac:dyDescent="0.3">
      <c r="A839" t="s">
        <v>1571</v>
      </c>
      <c r="B839" t="str">
        <f>REPLACE(A839,1,9,"18124xx")</f>
        <v>18124xx</v>
      </c>
      <c r="C839" s="3" t="s">
        <v>1572</v>
      </c>
      <c r="D839" s="4"/>
      <c r="E839" s="4"/>
      <c r="F839" s="4"/>
      <c r="G839" s="4"/>
    </row>
    <row r="840" spans="1:7" ht="15.75" x14ac:dyDescent="0.3">
      <c r="A840" t="s">
        <v>1573</v>
      </c>
      <c r="B840" t="str">
        <f>REPLACE(A840,1,9,"18141xx")</f>
        <v>18141xx</v>
      </c>
      <c r="C840" s="3" t="s">
        <v>1574</v>
      </c>
      <c r="D840" s="4"/>
      <c r="E840" s="4"/>
      <c r="F840" s="4"/>
      <c r="G840" s="4"/>
    </row>
    <row r="841" spans="1:7" ht="15.75" x14ac:dyDescent="0.3">
      <c r="A841" t="s">
        <v>1575</v>
      </c>
      <c r="B841" t="str">
        <f>REPLACE(A841,1,9,"18143xx")</f>
        <v>18143xx</v>
      </c>
      <c r="C841" s="3" t="s">
        <v>1576</v>
      </c>
      <c r="D841" s="4"/>
      <c r="E841" s="4"/>
      <c r="F841" s="4"/>
      <c r="G841" s="4"/>
    </row>
    <row r="842" spans="1:7" ht="15.75" x14ac:dyDescent="0.3">
      <c r="A842" t="s">
        <v>1577</v>
      </c>
      <c r="B842" t="str">
        <f>REPLACE(A842,1,9,"18145xx")</f>
        <v>18145xx</v>
      </c>
      <c r="C842" s="3" t="s">
        <v>1578</v>
      </c>
      <c r="D842" s="4"/>
      <c r="E842" s="4"/>
      <c r="F842" s="4"/>
      <c r="G842" s="4"/>
    </row>
    <row r="843" spans="1:7" ht="15.75" x14ac:dyDescent="0.3">
      <c r="A843" t="s">
        <v>1579</v>
      </c>
      <c r="B843" t="str">
        <f>REPLACE(A843,1,9,"18142xx")</f>
        <v>18142xx</v>
      </c>
      <c r="C843" s="3" t="s">
        <v>1580</v>
      </c>
      <c r="D843" s="4"/>
      <c r="E843" s="4"/>
      <c r="F843" s="4"/>
      <c r="G843" s="4"/>
    </row>
    <row r="844" spans="1:7" ht="15.75" x14ac:dyDescent="0.3">
      <c r="A844" t="s">
        <v>1581</v>
      </c>
      <c r="B844" t="str">
        <f>REPLACE(A844,1,9,"18146xx")</f>
        <v>18146xx</v>
      </c>
      <c r="C844" s="3" t="s">
        <v>1582</v>
      </c>
      <c r="D844" s="4"/>
      <c r="E844" s="4"/>
      <c r="F844" s="4"/>
      <c r="G844" s="4"/>
    </row>
    <row r="845" spans="1:7" ht="15.75" x14ac:dyDescent="0.3">
      <c r="A845" t="s">
        <v>1583</v>
      </c>
      <c r="B845" t="str">
        <f>REPLACE(A845,1,9,"18161xx")</f>
        <v>18161xx</v>
      </c>
      <c r="C845" s="3" t="s">
        <v>1584</v>
      </c>
      <c r="D845" s="4"/>
      <c r="E845" s="4"/>
      <c r="F845" s="4"/>
      <c r="G845" s="4"/>
    </row>
    <row r="846" spans="1:7" ht="15.75" x14ac:dyDescent="0.3">
      <c r="A846" t="s">
        <v>1585</v>
      </c>
      <c r="B846" t="str">
        <f>REPLACE(A846,1,9,"18162xx")</f>
        <v>18162xx</v>
      </c>
      <c r="C846" s="3" t="s">
        <v>1586</v>
      </c>
      <c r="D846" s="4"/>
      <c r="E846" s="4"/>
      <c r="F846" s="4"/>
      <c r="G846" s="4"/>
    </row>
    <row r="847" spans="1:7" ht="15.75" x14ac:dyDescent="0.3">
      <c r="A847" t="s">
        <v>1587</v>
      </c>
      <c r="B847" t="str">
        <f>REPLACE(A847,1,9,"18163xx")</f>
        <v>18163xx</v>
      </c>
      <c r="C847" s="3" t="s">
        <v>1588</v>
      </c>
      <c r="D847" s="4"/>
      <c r="E847" s="4"/>
      <c r="F847" s="4"/>
      <c r="G847" s="4"/>
    </row>
    <row r="848" spans="1:7" ht="15.75" x14ac:dyDescent="0.3">
      <c r="A848" t="s">
        <v>1589</v>
      </c>
      <c r="B848" t="s">
        <v>2360</v>
      </c>
      <c r="C848" s="3" t="s">
        <v>1590</v>
      </c>
      <c r="D848" s="4"/>
      <c r="E848" s="4"/>
      <c r="F848" s="4"/>
      <c r="G848" s="4"/>
    </row>
    <row r="849" spans="1:7" ht="15.75" x14ac:dyDescent="0.3">
      <c r="A849" t="s">
        <v>1591</v>
      </c>
      <c r="B849" t="s">
        <v>2361</v>
      </c>
      <c r="C849" s="3" t="s">
        <v>1592</v>
      </c>
      <c r="D849" s="4"/>
      <c r="E849" s="4"/>
      <c r="F849" s="4"/>
      <c r="G849" s="4"/>
    </row>
    <row r="850" spans="1:7" ht="15.75" x14ac:dyDescent="0.3">
      <c r="A850" t="s">
        <v>1593</v>
      </c>
      <c r="B850" t="s">
        <v>2362</v>
      </c>
      <c r="C850" s="3" t="s">
        <v>1594</v>
      </c>
      <c r="D850" s="4"/>
      <c r="E850" s="4"/>
      <c r="F850" s="4"/>
      <c r="G850" s="4"/>
    </row>
    <row r="851" spans="1:7" ht="15.75" x14ac:dyDescent="0.3">
      <c r="A851" t="s">
        <v>1595</v>
      </c>
      <c r="B851" t="s">
        <v>2363</v>
      </c>
      <c r="C851" s="3" t="s">
        <v>1596</v>
      </c>
      <c r="D851" s="4"/>
      <c r="E851" s="4"/>
      <c r="F851" s="4"/>
      <c r="G851" s="4"/>
    </row>
    <row r="852" spans="1:7" ht="15.75" x14ac:dyDescent="0.3">
      <c r="A852" t="s">
        <v>1597</v>
      </c>
      <c r="B852" t="s">
        <v>2364</v>
      </c>
      <c r="C852" s="3" t="s">
        <v>1598</v>
      </c>
      <c r="D852" s="4"/>
      <c r="E852" s="4"/>
      <c r="F852" s="4"/>
      <c r="G852" s="4"/>
    </row>
    <row r="853" spans="1:7" ht="15.75" x14ac:dyDescent="0.3">
      <c r="A853" t="s">
        <v>1599</v>
      </c>
      <c r="B853" t="s">
        <v>2365</v>
      </c>
      <c r="C853" s="3" t="s">
        <v>1600</v>
      </c>
      <c r="D853" s="4"/>
      <c r="E853" s="4"/>
      <c r="F853" s="4"/>
      <c r="G853" s="4"/>
    </row>
    <row r="854" spans="1:7" ht="15.75" x14ac:dyDescent="0.3">
      <c r="A854" t="s">
        <v>1601</v>
      </c>
      <c r="B854" t="s">
        <v>2366</v>
      </c>
      <c r="C854" s="3" t="s">
        <v>1602</v>
      </c>
      <c r="D854" s="4"/>
      <c r="E854" s="4"/>
      <c r="F854" s="4"/>
      <c r="G854" s="4"/>
    </row>
    <row r="855" spans="1:7" ht="15.75" x14ac:dyDescent="0.3">
      <c r="A855" t="s">
        <v>1603</v>
      </c>
      <c r="B855" t="str">
        <f>REPLACE(A855,1,9,"25102xx")</f>
        <v>25102xx</v>
      </c>
      <c r="C855" s="3" t="s">
        <v>1604</v>
      </c>
      <c r="D855" s="4"/>
      <c r="E855" s="4"/>
      <c r="F855" s="4"/>
      <c r="G855" s="4"/>
    </row>
    <row r="856" spans="1:7" ht="15.75" x14ac:dyDescent="0.3">
      <c r="A856" t="s">
        <v>1605</v>
      </c>
      <c r="B856" t="str">
        <f>REPLACE(A856,1,9,"25101xx")</f>
        <v>25101xx</v>
      </c>
      <c r="C856" s="3" t="s">
        <v>1606</v>
      </c>
      <c r="D856" s="4"/>
      <c r="E856" s="4"/>
      <c r="F856" s="4"/>
      <c r="G856" s="4"/>
    </row>
    <row r="857" spans="1:7" ht="15.75" x14ac:dyDescent="0.3">
      <c r="A857" t="s">
        <v>1607</v>
      </c>
      <c r="B857" t="str">
        <f>REPLACE(A857,1,9,"2514xxx")</f>
        <v>2514xxx</v>
      </c>
      <c r="C857" s="3" t="s">
        <v>1608</v>
      </c>
      <c r="D857" s="4"/>
      <c r="E857" s="4"/>
      <c r="F857" s="4"/>
      <c r="G857" s="4"/>
    </row>
    <row r="858" spans="1:7" ht="15.75" x14ac:dyDescent="0.3">
      <c r="A858" t="s">
        <v>1609</v>
      </c>
      <c r="B858" t="str">
        <f>REPLACE(A858,1,9,"25161xx")</f>
        <v>25161xx</v>
      </c>
      <c r="C858" s="3" t="s">
        <v>1610</v>
      </c>
      <c r="D858" s="4"/>
      <c r="E858" s="4"/>
      <c r="F858" s="4"/>
      <c r="G858" s="4"/>
    </row>
    <row r="859" spans="1:7" ht="15.75" x14ac:dyDescent="0.3">
      <c r="A859" t="s">
        <v>1611</v>
      </c>
      <c r="B859" t="str">
        <f>REPLACE(A859,1,9,"25166xx")</f>
        <v>25166xx</v>
      </c>
      <c r="C859" s="3" t="s">
        <v>1612</v>
      </c>
      <c r="D859" s="4"/>
      <c r="E859" s="4"/>
      <c r="F859" s="4"/>
      <c r="G859" s="4"/>
    </row>
    <row r="860" spans="1:7" ht="15.75" x14ac:dyDescent="0.3">
      <c r="A860" t="s">
        <v>1613</v>
      </c>
      <c r="B860" t="str">
        <f>REPLACE(A860,1,9,"25164xx")</f>
        <v>25164xx</v>
      </c>
      <c r="C860" s="3" t="s">
        <v>1614</v>
      </c>
      <c r="D860" s="4"/>
      <c r="E860" s="4"/>
      <c r="F860" s="4"/>
      <c r="G860" s="4"/>
    </row>
    <row r="861" spans="1:7" ht="15.75" x14ac:dyDescent="0.3">
      <c r="A861" t="s">
        <v>1615</v>
      </c>
      <c r="B861" t="str">
        <f>REPLACE(A861,1,9,"25503xx")</f>
        <v>25503xx</v>
      </c>
      <c r="C861" s="3" t="s">
        <v>279</v>
      </c>
      <c r="D861" s="4"/>
      <c r="E861" s="4"/>
      <c r="F861" s="4"/>
      <c r="G861" s="4"/>
    </row>
    <row r="862" spans="1:7" ht="15.75" x14ac:dyDescent="0.3">
      <c r="A862" t="s">
        <v>1616</v>
      </c>
      <c r="B862" t="str">
        <f>REPLACE(A862,1,9,"25502xx")</f>
        <v>25502xx</v>
      </c>
      <c r="C862" s="3" t="s">
        <v>1617</v>
      </c>
      <c r="D862" s="4"/>
      <c r="E862" s="4"/>
      <c r="F862" s="4"/>
      <c r="G862" s="4"/>
    </row>
    <row r="863" spans="1:7" ht="15.75" x14ac:dyDescent="0.3">
      <c r="A863" t="s">
        <v>1618</v>
      </c>
      <c r="B863" t="str">
        <f>REPLACE(A863,1,9,"25501xx")</f>
        <v>25501xx</v>
      </c>
      <c r="C863" s="3" t="s">
        <v>1619</v>
      </c>
      <c r="D863" s="4"/>
      <c r="E863" s="4"/>
      <c r="F863" s="4"/>
      <c r="G863" s="4"/>
    </row>
    <row r="864" spans="1:7" ht="15.75" x14ac:dyDescent="0.3">
      <c r="A864" t="s">
        <v>1620</v>
      </c>
      <c r="B864" t="str">
        <f>REPLACE(A864,1,9,"25547xx")</f>
        <v>25547xx</v>
      </c>
      <c r="C864" s="3" t="s">
        <v>1621</v>
      </c>
      <c r="D864" s="4"/>
      <c r="E864" s="4"/>
      <c r="F864" s="4"/>
      <c r="G864" s="4"/>
    </row>
    <row r="865" spans="1:7" ht="15.75" x14ac:dyDescent="0.3">
      <c r="A865" t="s">
        <v>1622</v>
      </c>
      <c r="B865" t="str">
        <f>REPLACE(A865,1,9,"25548xx")</f>
        <v>25548xx</v>
      </c>
      <c r="C865" s="3" t="s">
        <v>1623</v>
      </c>
      <c r="D865" s="4"/>
      <c r="E865" s="4"/>
      <c r="F865" s="4"/>
      <c r="G865" s="4"/>
    </row>
    <row r="866" spans="1:7" ht="15.75" x14ac:dyDescent="0.3">
      <c r="A866" t="s">
        <v>1624</v>
      </c>
      <c r="B866" t="str">
        <f>REPLACE(A866,1,9,"25541xx")</f>
        <v>25541xx</v>
      </c>
      <c r="C866" s="3" t="s">
        <v>1625</v>
      </c>
      <c r="D866" s="4"/>
      <c r="E866" s="4"/>
      <c r="F866" s="4"/>
      <c r="G866" s="4"/>
    </row>
    <row r="867" spans="1:7" ht="15.75" x14ac:dyDescent="0.3">
      <c r="A867" t="s">
        <v>1626</v>
      </c>
      <c r="B867" t="str">
        <f>REPLACE(A867,1,9,"25544xx")</f>
        <v>25544xx</v>
      </c>
      <c r="C867" s="3" t="s">
        <v>1627</v>
      </c>
      <c r="D867" s="4"/>
      <c r="E867" s="4"/>
      <c r="F867" s="4"/>
      <c r="G867" s="4"/>
    </row>
    <row r="868" spans="1:7" ht="15.75" x14ac:dyDescent="0.3">
      <c r="A868" t="s">
        <v>1628</v>
      </c>
      <c r="B868" t="str">
        <f>REPLACE(A868,1,9,"25542xx")</f>
        <v>25542xx</v>
      </c>
      <c r="C868" s="3" t="s">
        <v>1629</v>
      </c>
      <c r="D868" s="4"/>
      <c r="E868" s="4"/>
      <c r="F868" s="4"/>
      <c r="G868" s="4"/>
    </row>
    <row r="869" spans="1:7" ht="15.75" x14ac:dyDescent="0.3">
      <c r="A869" t="s">
        <v>1630</v>
      </c>
      <c r="B869" t="str">
        <f>REPLACE(A869,1,9,"25543xx")</f>
        <v>25543xx</v>
      </c>
      <c r="C869" s="3" t="s">
        <v>1631</v>
      </c>
      <c r="D869" s="4"/>
      <c r="E869" s="4"/>
      <c r="F869" s="4"/>
      <c r="G869" s="4"/>
    </row>
    <row r="870" spans="1:7" ht="15.75" x14ac:dyDescent="0.3">
      <c r="A870" t="s">
        <v>1632</v>
      </c>
      <c r="B870" t="str">
        <f>REPLACE(A870,1,9,"25545xx")</f>
        <v>25545xx</v>
      </c>
      <c r="C870" s="3" t="s">
        <v>1633</v>
      </c>
      <c r="D870" s="4"/>
      <c r="E870" s="4"/>
      <c r="F870" s="4"/>
      <c r="G870" s="4"/>
    </row>
    <row r="871" spans="1:7" ht="15.75" x14ac:dyDescent="0.3">
      <c r="A871" t="s">
        <v>1634</v>
      </c>
      <c r="B871" t="str">
        <f>REPLACE(A871,1,9,"25546xx")</f>
        <v>25546xx</v>
      </c>
      <c r="C871" s="3" t="s">
        <v>1635</v>
      </c>
      <c r="D871" s="4"/>
      <c r="E871" s="4"/>
      <c r="F871" s="4"/>
      <c r="G871" s="4"/>
    </row>
    <row r="872" spans="1:7" ht="15.75" x14ac:dyDescent="0.3">
      <c r="A872" t="s">
        <v>1636</v>
      </c>
      <c r="B872" t="str">
        <f>REPLACE(A872,1,9,"2560xxx")</f>
        <v>2560xxx</v>
      </c>
      <c r="C872" s="3" t="s">
        <v>283</v>
      </c>
      <c r="D872" s="4"/>
      <c r="E872" s="4"/>
      <c r="F872" s="4"/>
      <c r="G872" s="4"/>
    </row>
    <row r="873" spans="1:7" ht="15.75" x14ac:dyDescent="0.3">
      <c r="A873" t="s">
        <v>1637</v>
      </c>
      <c r="B873" t="str">
        <f>REPLACE(A873,1,9,"25642xx")</f>
        <v>25642xx</v>
      </c>
      <c r="C873" s="3" t="s">
        <v>1638</v>
      </c>
      <c r="D873" s="4"/>
      <c r="E873" s="4"/>
      <c r="F873" s="4"/>
      <c r="G873" s="4"/>
    </row>
    <row r="874" spans="1:7" ht="15.75" x14ac:dyDescent="0.3">
      <c r="A874" t="s">
        <v>1639</v>
      </c>
      <c r="B874" t="str">
        <f>REPLACE(A874,1,9,"25641xx")</f>
        <v>25641xx</v>
      </c>
      <c r="C874" s="3" t="s">
        <v>1640</v>
      </c>
      <c r="D874" s="4"/>
      <c r="E874" s="4"/>
      <c r="F874" s="4"/>
      <c r="G874" s="4"/>
    </row>
    <row r="875" spans="1:7" ht="15.75" x14ac:dyDescent="0.3">
      <c r="A875" t="s">
        <v>1641</v>
      </c>
      <c r="B875" t="str">
        <f>REPLACE(A875,1,9,"2501xxx")</f>
        <v>2501xxx</v>
      </c>
      <c r="C875" s="3" t="s">
        <v>1642</v>
      </c>
      <c r="D875" s="4"/>
      <c r="E875" s="4"/>
      <c r="F875" s="4"/>
      <c r="G875" s="4"/>
    </row>
    <row r="876" spans="1:7" ht="15.75" x14ac:dyDescent="0.3">
      <c r="A876" t="s">
        <v>1643</v>
      </c>
      <c r="B876"/>
      <c r="C876" s="3" t="s">
        <v>288</v>
      </c>
      <c r="D876" s="4"/>
      <c r="E876" s="4"/>
      <c r="F876" s="4"/>
      <c r="G876" s="4"/>
    </row>
    <row r="877" spans="1:7" ht="15.75" x14ac:dyDescent="0.3">
      <c r="A877" t="s">
        <v>1644</v>
      </c>
      <c r="B877"/>
      <c r="C877" s="3" t="s">
        <v>290</v>
      </c>
      <c r="D877" s="4"/>
      <c r="E877" s="4"/>
      <c r="F877" s="4"/>
      <c r="G877" s="4"/>
    </row>
    <row r="878" spans="1:7" ht="15.75" x14ac:dyDescent="0.3">
      <c r="A878" t="s">
        <v>1645</v>
      </c>
      <c r="B878"/>
      <c r="C878" s="3" t="s">
        <v>1646</v>
      </c>
      <c r="D878" s="4"/>
      <c r="E878" s="4"/>
      <c r="F878" s="4"/>
      <c r="G878" s="4"/>
    </row>
    <row r="879" spans="1:7" ht="15.75" x14ac:dyDescent="0.3">
      <c r="A879" t="s">
        <v>1647</v>
      </c>
      <c r="B879"/>
      <c r="C879" s="3" t="s">
        <v>292</v>
      </c>
      <c r="D879" s="4"/>
      <c r="E879" s="4"/>
      <c r="F879" s="4"/>
      <c r="G879" s="4"/>
    </row>
    <row r="880" spans="1:7" ht="15.75" x14ac:dyDescent="0.3">
      <c r="A880" t="s">
        <v>1648</v>
      </c>
      <c r="B880"/>
      <c r="C880" s="3" t="s">
        <v>294</v>
      </c>
      <c r="D880" s="4"/>
      <c r="E880" s="4"/>
      <c r="F880" s="4"/>
      <c r="G880" s="4"/>
    </row>
    <row r="881" spans="1:7" ht="15.75" x14ac:dyDescent="0.3">
      <c r="A881" t="s">
        <v>1649</v>
      </c>
      <c r="B881"/>
      <c r="C881" s="3" t="s">
        <v>296</v>
      </c>
      <c r="D881" s="4"/>
      <c r="E881" s="4"/>
      <c r="F881" s="4"/>
      <c r="G881" s="4"/>
    </row>
    <row r="882" spans="1:7" ht="15.75" x14ac:dyDescent="0.3">
      <c r="A882" t="s">
        <v>1650</v>
      </c>
      <c r="B882"/>
      <c r="C882" s="3" t="s">
        <v>298</v>
      </c>
      <c r="D882" s="4"/>
      <c r="E882" s="4"/>
      <c r="F882" s="4"/>
      <c r="G882" s="4"/>
    </row>
    <row r="883" spans="1:7" ht="15.75" x14ac:dyDescent="0.3">
      <c r="A883" t="s">
        <v>1651</v>
      </c>
      <c r="B883"/>
      <c r="C883" s="3" t="s">
        <v>300</v>
      </c>
      <c r="D883" s="4"/>
      <c r="E883" s="4"/>
      <c r="F883" s="4"/>
      <c r="G883" s="4"/>
    </row>
    <row r="884" spans="1:7" ht="15.75" x14ac:dyDescent="0.3">
      <c r="A884" t="s">
        <v>1652</v>
      </c>
      <c r="B884"/>
      <c r="C884" s="3" t="s">
        <v>302</v>
      </c>
      <c r="D884" s="4"/>
      <c r="E884" s="4"/>
      <c r="F884" s="4"/>
      <c r="G884" s="4"/>
    </row>
    <row r="885" spans="1:7" ht="15.75" x14ac:dyDescent="0.3">
      <c r="A885" t="s">
        <v>1653</v>
      </c>
      <c r="B885"/>
      <c r="C885" s="3" t="s">
        <v>304</v>
      </c>
      <c r="D885" s="4"/>
      <c r="E885" s="4"/>
      <c r="F885" s="4"/>
      <c r="G885" s="4"/>
    </row>
    <row r="886" spans="1:7" ht="15.75" x14ac:dyDescent="0.3">
      <c r="A886" t="s">
        <v>1654</v>
      </c>
      <c r="B886"/>
      <c r="C886" s="3" t="s">
        <v>1655</v>
      </c>
      <c r="D886" s="4"/>
      <c r="E886" s="4"/>
      <c r="F886" s="4"/>
      <c r="G886" s="4"/>
    </row>
    <row r="887" spans="1:7" ht="15.75" x14ac:dyDescent="0.3">
      <c r="A887" t="s">
        <v>1656</v>
      </c>
      <c r="B887"/>
      <c r="C887" s="3" t="s">
        <v>1657</v>
      </c>
      <c r="D887" s="4"/>
      <c r="E887" s="4"/>
      <c r="F887" s="4"/>
      <c r="G887" s="4"/>
    </row>
    <row r="888" spans="1:7" ht="15.75" x14ac:dyDescent="0.3">
      <c r="A888" t="s">
        <v>1658</v>
      </c>
      <c r="B888"/>
      <c r="C888" s="3" t="s">
        <v>1659</v>
      </c>
      <c r="D888" s="4"/>
      <c r="E888" s="4"/>
      <c r="F888" s="4"/>
      <c r="G888" s="4"/>
    </row>
    <row r="889" spans="1:7" ht="15.75" x14ac:dyDescent="0.3">
      <c r="A889" t="s">
        <v>1660</v>
      </c>
      <c r="B889"/>
      <c r="C889" s="3" t="s">
        <v>1661</v>
      </c>
      <c r="D889" s="4"/>
      <c r="E889" s="4"/>
      <c r="F889" s="4"/>
      <c r="G889" s="4"/>
    </row>
    <row r="890" spans="1:7" ht="15.75" x14ac:dyDescent="0.3">
      <c r="A890" t="s">
        <v>1662</v>
      </c>
      <c r="B890"/>
      <c r="C890" s="3" t="s">
        <v>1663</v>
      </c>
      <c r="D890" s="4"/>
      <c r="E890" s="4"/>
      <c r="F890" s="4"/>
      <c r="G890" s="4"/>
    </row>
    <row r="891" spans="1:7" ht="15.75" x14ac:dyDescent="0.3">
      <c r="A891" t="s">
        <v>1664</v>
      </c>
      <c r="B891"/>
      <c r="C891" s="3" t="s">
        <v>1665</v>
      </c>
      <c r="D891" s="4"/>
      <c r="E891" s="4"/>
      <c r="F891" s="4"/>
      <c r="G891" s="4"/>
    </row>
    <row r="892" spans="1:7" ht="15.75" x14ac:dyDescent="0.3">
      <c r="A892" t="s">
        <v>1666</v>
      </c>
      <c r="B892"/>
      <c r="C892" s="3" t="s">
        <v>1667</v>
      </c>
      <c r="D892" s="4"/>
      <c r="E892" s="4"/>
      <c r="F892" s="4"/>
      <c r="G892" s="4"/>
    </row>
    <row r="893" spans="1:7" ht="15.75" x14ac:dyDescent="0.3">
      <c r="A893" t="s">
        <v>1668</v>
      </c>
      <c r="B893"/>
      <c r="C893" s="3" t="s">
        <v>1669</v>
      </c>
      <c r="D893" s="4"/>
      <c r="E893" s="4"/>
      <c r="F893" s="4"/>
      <c r="G893" s="4"/>
    </row>
    <row r="894" spans="1:7" ht="15.75" x14ac:dyDescent="0.3">
      <c r="A894" t="s">
        <v>1670</v>
      </c>
      <c r="B894"/>
      <c r="C894" s="3" t="s">
        <v>308</v>
      </c>
      <c r="D894" s="4"/>
      <c r="E894" s="4"/>
      <c r="F894" s="4"/>
      <c r="G894" s="4"/>
    </row>
    <row r="895" spans="1:7" ht="15.75" x14ac:dyDescent="0.3">
      <c r="A895" t="s">
        <v>1671</v>
      </c>
      <c r="B895"/>
      <c r="C895" s="3" t="s">
        <v>1672</v>
      </c>
      <c r="D895" s="4"/>
      <c r="E895" s="4"/>
      <c r="F895" s="4"/>
      <c r="G895" s="4"/>
    </row>
    <row r="896" spans="1:7" ht="15.75" x14ac:dyDescent="0.3">
      <c r="A896" t="s">
        <v>1673</v>
      </c>
      <c r="B896"/>
      <c r="C896" s="3" t="s">
        <v>1674</v>
      </c>
      <c r="D896" s="4"/>
      <c r="E896" s="4"/>
      <c r="F896" s="4"/>
      <c r="G896" s="4"/>
    </row>
    <row r="897" spans="1:7" ht="15.75" x14ac:dyDescent="0.3">
      <c r="A897" t="s">
        <v>1675</v>
      </c>
      <c r="B897"/>
      <c r="C897" s="3" t="s">
        <v>1676</v>
      </c>
      <c r="D897" s="4"/>
      <c r="E897" s="4"/>
      <c r="F897" s="4"/>
      <c r="G897" s="4"/>
    </row>
    <row r="898" spans="1:7" ht="15.75" x14ac:dyDescent="0.3">
      <c r="A898" t="s">
        <v>1677</v>
      </c>
      <c r="B898"/>
      <c r="C898" s="3" t="s">
        <v>1678</v>
      </c>
      <c r="D898" s="4"/>
      <c r="E898" s="4"/>
      <c r="F898" s="4"/>
      <c r="G898" s="4"/>
    </row>
    <row r="899" spans="1:7" ht="15.75" x14ac:dyDescent="0.3">
      <c r="A899" t="s">
        <v>1679</v>
      </c>
      <c r="B899"/>
      <c r="C899" s="3" t="s">
        <v>1680</v>
      </c>
      <c r="D899" s="4"/>
      <c r="E899" s="4"/>
      <c r="F899" s="4"/>
      <c r="G899" s="4"/>
    </row>
    <row r="900" spans="1:7" ht="15.75" x14ac:dyDescent="0.3">
      <c r="A900" t="s">
        <v>1681</v>
      </c>
      <c r="B900"/>
      <c r="C900" s="3" t="s">
        <v>1682</v>
      </c>
      <c r="D900" s="4"/>
      <c r="E900" s="4"/>
      <c r="F900" s="4"/>
      <c r="G900" s="4"/>
    </row>
    <row r="901" spans="1:7" ht="15.75" x14ac:dyDescent="0.3">
      <c r="A901" t="s">
        <v>1683</v>
      </c>
      <c r="B901"/>
      <c r="C901" s="3" t="s">
        <v>1684</v>
      </c>
      <c r="D901" s="4"/>
      <c r="E901" s="4"/>
      <c r="F901" s="4"/>
      <c r="G901" s="4"/>
    </row>
    <row r="902" spans="1:7" ht="15.75" x14ac:dyDescent="0.3">
      <c r="A902" t="s">
        <v>1685</v>
      </c>
      <c r="B902"/>
      <c r="C902" s="3" t="s">
        <v>19</v>
      </c>
      <c r="D902" s="4"/>
      <c r="E902" s="4"/>
      <c r="F902" s="4"/>
      <c r="G902" s="4"/>
    </row>
    <row r="903" spans="1:7" ht="15.75" x14ac:dyDescent="0.3">
      <c r="A903" t="s">
        <v>1686</v>
      </c>
      <c r="B903"/>
      <c r="C903" s="3" t="s">
        <v>20</v>
      </c>
      <c r="D903" s="4"/>
      <c r="E903" s="4"/>
      <c r="F903" s="4"/>
      <c r="G903" s="4"/>
    </row>
    <row r="904" spans="1:7" ht="15.75" x14ac:dyDescent="0.3">
      <c r="A904" t="s">
        <v>1687</v>
      </c>
      <c r="B904"/>
      <c r="C904" s="3" t="s">
        <v>21</v>
      </c>
      <c r="D904" s="4"/>
      <c r="E904" s="4"/>
      <c r="F904" s="4"/>
      <c r="G904" s="4"/>
    </row>
    <row r="905" spans="1:7" ht="15.75" x14ac:dyDescent="0.3">
      <c r="A905" t="s">
        <v>1688</v>
      </c>
      <c r="B905"/>
      <c r="C905" s="3" t="s">
        <v>317</v>
      </c>
      <c r="D905" s="4"/>
      <c r="E905" s="4"/>
      <c r="F905" s="4"/>
      <c r="G905" s="4"/>
    </row>
    <row r="906" spans="1:7" ht="15.75" x14ac:dyDescent="0.3">
      <c r="A906" t="s">
        <v>1689</v>
      </c>
      <c r="B906"/>
      <c r="C906" s="3" t="s">
        <v>1690</v>
      </c>
      <c r="D906" s="4"/>
      <c r="E906" s="4"/>
      <c r="F906" s="4"/>
      <c r="G906" s="4"/>
    </row>
    <row r="907" spans="1:7" ht="15.75" x14ac:dyDescent="0.3">
      <c r="A907" t="s">
        <v>1691</v>
      </c>
      <c r="B907"/>
      <c r="C907" s="3" t="s">
        <v>1692</v>
      </c>
      <c r="D907" s="4"/>
      <c r="E907" s="4"/>
      <c r="F907" s="4"/>
      <c r="G907" s="4"/>
    </row>
    <row r="908" spans="1:7" ht="15.75" x14ac:dyDescent="0.3">
      <c r="A908" t="s">
        <v>1693</v>
      </c>
      <c r="B908"/>
      <c r="C908" s="3" t="s">
        <v>1694</v>
      </c>
      <c r="D908" s="4"/>
      <c r="E908" s="4"/>
      <c r="F908" s="4"/>
      <c r="G908" s="4"/>
    </row>
    <row r="909" spans="1:7" ht="15.75" x14ac:dyDescent="0.3">
      <c r="A909" t="s">
        <v>1695</v>
      </c>
      <c r="B909"/>
      <c r="C909" s="3" t="s">
        <v>1696</v>
      </c>
      <c r="D909" s="4"/>
      <c r="E909" s="4"/>
      <c r="F909" s="4"/>
      <c r="G909" s="4"/>
    </row>
    <row r="910" spans="1:7" ht="15.75" x14ac:dyDescent="0.3">
      <c r="A910" t="s">
        <v>1697</v>
      </c>
      <c r="B910"/>
      <c r="C910" s="3" t="s">
        <v>1698</v>
      </c>
      <c r="D910" s="4"/>
      <c r="E910" s="4"/>
      <c r="F910" s="4"/>
      <c r="G910" s="4"/>
    </row>
    <row r="911" spans="1:7" ht="15.75" x14ac:dyDescent="0.3">
      <c r="A911" t="s">
        <v>1699</v>
      </c>
      <c r="B911"/>
      <c r="C911" s="3" t="s">
        <v>1700</v>
      </c>
      <c r="D911" s="4"/>
      <c r="E911" s="4"/>
      <c r="F911" s="4"/>
      <c r="G911" s="4"/>
    </row>
    <row r="912" spans="1:7" ht="15.75" x14ac:dyDescent="0.3">
      <c r="A912" t="s">
        <v>1701</v>
      </c>
      <c r="B912"/>
      <c r="C912" s="3" t="s">
        <v>1702</v>
      </c>
      <c r="D912" s="4"/>
      <c r="E912" s="4"/>
      <c r="F912" s="4"/>
      <c r="G912" s="4"/>
    </row>
    <row r="913" spans="1:7" ht="15.75" x14ac:dyDescent="0.3">
      <c r="A913" t="s">
        <v>1703</v>
      </c>
      <c r="B913"/>
      <c r="C913" s="3" t="s">
        <v>1704</v>
      </c>
      <c r="D913" s="4"/>
      <c r="E913" s="4"/>
      <c r="F913" s="4"/>
      <c r="G913" s="4"/>
    </row>
    <row r="914" spans="1:7" ht="15.75" x14ac:dyDescent="0.3">
      <c r="A914" t="s">
        <v>1705</v>
      </c>
      <c r="B914"/>
      <c r="C914" s="3" t="s">
        <v>1706</v>
      </c>
      <c r="D914" s="4"/>
      <c r="E914" s="4"/>
      <c r="F914" s="4"/>
      <c r="G914" s="4"/>
    </row>
    <row r="915" spans="1:7" ht="15.75" x14ac:dyDescent="0.3">
      <c r="A915" t="s">
        <v>1707</v>
      </c>
      <c r="B915"/>
      <c r="C915" s="3" t="s">
        <v>1708</v>
      </c>
      <c r="D915" s="4"/>
      <c r="E915" s="4"/>
      <c r="F915" s="4"/>
      <c r="G915" s="4"/>
    </row>
    <row r="916" spans="1:7" ht="15.75" x14ac:dyDescent="0.3">
      <c r="A916" t="s">
        <v>1709</v>
      </c>
      <c r="B916"/>
      <c r="C916" s="3" t="s">
        <v>1710</v>
      </c>
      <c r="D916" s="4"/>
      <c r="E916" s="4"/>
      <c r="F916" s="4"/>
      <c r="G916" s="4"/>
    </row>
    <row r="917" spans="1:7" ht="15.75" x14ac:dyDescent="0.3">
      <c r="A917" t="s">
        <v>1711</v>
      </c>
      <c r="B917"/>
      <c r="C917" s="3" t="s">
        <v>1712</v>
      </c>
      <c r="D917" s="4"/>
      <c r="E917" s="4"/>
      <c r="F917" s="4"/>
      <c r="G917" s="4"/>
    </row>
    <row r="918" spans="1:7" ht="15.75" x14ac:dyDescent="0.3">
      <c r="A918" t="s">
        <v>1713</v>
      </c>
      <c r="B918"/>
      <c r="C918" s="3" t="s">
        <v>22</v>
      </c>
      <c r="D918" s="4"/>
      <c r="E918" s="4"/>
      <c r="F918" s="4"/>
      <c r="G918" s="4"/>
    </row>
    <row r="919" spans="1:7" ht="15.75" x14ac:dyDescent="0.3">
      <c r="A919" t="s">
        <v>1714</v>
      </c>
      <c r="B919"/>
      <c r="C919" s="3" t="s">
        <v>1715</v>
      </c>
      <c r="D919" s="4"/>
      <c r="E919" s="4"/>
      <c r="F919" s="4"/>
      <c r="G919" s="4"/>
    </row>
    <row r="920" spans="1:7" ht="15.75" x14ac:dyDescent="0.3">
      <c r="A920" t="s">
        <v>1716</v>
      </c>
      <c r="B920"/>
      <c r="C920" s="3" t="s">
        <v>1717</v>
      </c>
      <c r="D920" s="4"/>
      <c r="E920" s="4"/>
      <c r="F920" s="4"/>
      <c r="G920" s="4"/>
    </row>
    <row r="921" spans="1:7" ht="15.75" x14ac:dyDescent="0.3">
      <c r="A921" t="s">
        <v>1718</v>
      </c>
      <c r="B921"/>
      <c r="C921" s="3" t="s">
        <v>1719</v>
      </c>
      <c r="D921" s="4"/>
      <c r="E921" s="4"/>
      <c r="F921" s="4"/>
      <c r="G921" s="4"/>
    </row>
    <row r="922" spans="1:7" ht="15.75" x14ac:dyDescent="0.3">
      <c r="A922" t="s">
        <v>1720</v>
      </c>
      <c r="B922"/>
      <c r="C922" s="3" t="s">
        <v>1721</v>
      </c>
      <c r="D922" s="4"/>
      <c r="E922" s="4"/>
      <c r="F922" s="4"/>
      <c r="G922" s="4"/>
    </row>
    <row r="923" spans="1:7" ht="15.75" x14ac:dyDescent="0.3">
      <c r="A923" t="s">
        <v>1722</v>
      </c>
      <c r="B923"/>
      <c r="C923" s="3" t="s">
        <v>1723</v>
      </c>
      <c r="D923" s="4"/>
      <c r="E923" s="4"/>
      <c r="F923" s="4"/>
      <c r="G923" s="4"/>
    </row>
    <row r="924" spans="1:7" ht="15.75" x14ac:dyDescent="0.3">
      <c r="A924" t="s">
        <v>1724</v>
      </c>
      <c r="B924"/>
      <c r="C924" s="3" t="s">
        <v>1725</v>
      </c>
      <c r="D924" s="4"/>
      <c r="E924" s="4"/>
      <c r="F924" s="4"/>
      <c r="G924" s="4"/>
    </row>
    <row r="925" spans="1:7" ht="15.75" x14ac:dyDescent="0.3">
      <c r="A925" t="s">
        <v>1726</v>
      </c>
      <c r="B925"/>
      <c r="C925" s="3" t="s">
        <v>1727</v>
      </c>
      <c r="D925" s="4"/>
      <c r="E925" s="4"/>
      <c r="F925" s="4"/>
      <c r="G925" s="4"/>
    </row>
    <row r="926" spans="1:7" ht="15.75" x14ac:dyDescent="0.3">
      <c r="A926" t="s">
        <v>1728</v>
      </c>
      <c r="B926"/>
      <c r="C926" s="3" t="s">
        <v>1729</v>
      </c>
      <c r="D926" s="4"/>
      <c r="E926" s="4"/>
      <c r="F926" s="4"/>
      <c r="G926" s="4"/>
    </row>
    <row r="927" spans="1:7" ht="15.75" x14ac:dyDescent="0.3">
      <c r="A927" t="s">
        <v>1730</v>
      </c>
      <c r="B927"/>
      <c r="C927" s="3" t="s">
        <v>1731</v>
      </c>
      <c r="D927" s="4"/>
      <c r="E927" s="4"/>
      <c r="F927" s="4"/>
      <c r="G927" s="4"/>
    </row>
    <row r="928" spans="1:7" ht="15.75" x14ac:dyDescent="0.3">
      <c r="A928" t="s">
        <v>1732</v>
      </c>
      <c r="B928"/>
      <c r="C928" s="3" t="s">
        <v>1733</v>
      </c>
      <c r="D928" s="4"/>
      <c r="E928" s="4"/>
      <c r="F928" s="4"/>
      <c r="G928" s="4"/>
    </row>
    <row r="929" spans="1:7" ht="15.75" x14ac:dyDescent="0.3">
      <c r="A929" t="s">
        <v>1734</v>
      </c>
      <c r="B929"/>
      <c r="C929" s="3" t="s">
        <v>325</v>
      </c>
      <c r="D929" s="4"/>
      <c r="E929" s="4"/>
      <c r="F929" s="4"/>
      <c r="G929" s="4"/>
    </row>
    <row r="930" spans="1:7" ht="15.75" x14ac:dyDescent="0.3">
      <c r="A930" t="s">
        <v>1735</v>
      </c>
      <c r="B930"/>
      <c r="C930" s="3" t="s">
        <v>327</v>
      </c>
      <c r="D930" s="4"/>
      <c r="E930" s="4"/>
      <c r="F930" s="4"/>
      <c r="G930" s="4"/>
    </row>
    <row r="931" spans="1:7" ht="15.75" x14ac:dyDescent="0.3">
      <c r="A931" t="s">
        <v>1736</v>
      </c>
      <c r="B931"/>
      <c r="C931" s="3" t="s">
        <v>329</v>
      </c>
      <c r="D931" s="4"/>
      <c r="E931" s="4"/>
      <c r="F931" s="4"/>
      <c r="G931" s="4"/>
    </row>
    <row r="932" spans="1:7" ht="15.75" x14ac:dyDescent="0.3">
      <c r="A932" t="s">
        <v>1737</v>
      </c>
      <c r="B932"/>
      <c r="C932" s="3" t="s">
        <v>331</v>
      </c>
      <c r="D932" s="4"/>
      <c r="E932" s="4"/>
      <c r="F932" s="4"/>
      <c r="G932" s="4"/>
    </row>
    <row r="933" spans="1:7" ht="15.75" x14ac:dyDescent="0.3">
      <c r="A933" t="s">
        <v>1738</v>
      </c>
      <c r="B933"/>
      <c r="C933" s="3" t="s">
        <v>333</v>
      </c>
      <c r="D933" s="4"/>
      <c r="E933" s="4"/>
      <c r="F933" s="4"/>
      <c r="G933" s="4"/>
    </row>
    <row r="934" spans="1:7" ht="15.75" x14ac:dyDescent="0.3">
      <c r="A934" t="s">
        <v>1739</v>
      </c>
      <c r="B934"/>
      <c r="C934" s="3" t="s">
        <v>335</v>
      </c>
      <c r="D934" s="4"/>
      <c r="E934" s="4"/>
      <c r="F934" s="4"/>
      <c r="G934" s="4"/>
    </row>
    <row r="935" spans="1:7" ht="15.75" x14ac:dyDescent="0.3">
      <c r="A935" t="s">
        <v>1740</v>
      </c>
      <c r="B935"/>
      <c r="C935" s="3" t="s">
        <v>337</v>
      </c>
      <c r="D935" s="4"/>
      <c r="E935" s="4"/>
      <c r="F935" s="4"/>
      <c r="G935" s="4"/>
    </row>
    <row r="936" spans="1:7" ht="15.75" x14ac:dyDescent="0.3">
      <c r="A936" t="s">
        <v>1741</v>
      </c>
      <c r="B936"/>
      <c r="C936" s="3" t="s">
        <v>339</v>
      </c>
      <c r="D936" s="4"/>
      <c r="E936" s="4"/>
      <c r="F936" s="4"/>
      <c r="G936" s="4"/>
    </row>
    <row r="937" spans="1:7" ht="15.75" x14ac:dyDescent="0.3">
      <c r="A937" t="s">
        <v>1742</v>
      </c>
      <c r="B937"/>
      <c r="C937" s="3" t="s">
        <v>341</v>
      </c>
      <c r="D937" s="4"/>
      <c r="E937" s="4"/>
      <c r="F937" s="4"/>
      <c r="G937" s="4"/>
    </row>
    <row r="938" spans="1:7" ht="15.75" x14ac:dyDescent="0.3">
      <c r="A938" t="s">
        <v>1743</v>
      </c>
      <c r="B938"/>
      <c r="C938" s="3" t="s">
        <v>343</v>
      </c>
      <c r="D938" s="4"/>
      <c r="E938" s="4"/>
      <c r="F938" s="4"/>
      <c r="G938" s="4"/>
    </row>
    <row r="939" spans="1:7" ht="15.75" x14ac:dyDescent="0.3">
      <c r="A939" t="s">
        <v>1744</v>
      </c>
      <c r="B939"/>
      <c r="C939" s="3" t="s">
        <v>345</v>
      </c>
      <c r="D939" s="4"/>
      <c r="E939" s="4"/>
      <c r="F939" s="4"/>
      <c r="G939" s="4"/>
    </row>
    <row r="940" spans="1:7" ht="15.75" x14ac:dyDescent="0.3">
      <c r="A940" t="s">
        <v>1745</v>
      </c>
      <c r="B940"/>
      <c r="C940" s="3" t="s">
        <v>347</v>
      </c>
      <c r="D940" s="4"/>
      <c r="E940" s="4"/>
      <c r="F940" s="4"/>
      <c r="G940" s="4"/>
    </row>
    <row r="941" spans="1:7" ht="15.75" x14ac:dyDescent="0.3">
      <c r="A941" t="s">
        <v>1746</v>
      </c>
      <c r="B941"/>
      <c r="C941" s="3" t="s">
        <v>349</v>
      </c>
      <c r="D941" s="4"/>
      <c r="E941" s="4"/>
      <c r="F941" s="4"/>
      <c r="G941" s="4"/>
    </row>
    <row r="942" spans="1:7" ht="15.75" x14ac:dyDescent="0.3">
      <c r="A942" t="s">
        <v>1747</v>
      </c>
      <c r="B942"/>
      <c r="C942" s="3" t="s">
        <v>351</v>
      </c>
      <c r="D942" s="4"/>
      <c r="E942" s="4"/>
      <c r="F942" s="4"/>
      <c r="G942" s="4"/>
    </row>
    <row r="943" spans="1:7" ht="15.75" x14ac:dyDescent="0.3">
      <c r="A943" t="s">
        <v>1748</v>
      </c>
      <c r="B943"/>
      <c r="C943" s="3" t="s">
        <v>353</v>
      </c>
      <c r="D943" s="4"/>
      <c r="E943" s="4"/>
      <c r="F943" s="4"/>
      <c r="G943" s="4"/>
    </row>
    <row r="944" spans="1:7" ht="15.75" x14ac:dyDescent="0.3">
      <c r="A944" t="s">
        <v>1749</v>
      </c>
      <c r="B944"/>
      <c r="C944" s="3" t="s">
        <v>355</v>
      </c>
      <c r="D944" s="4"/>
      <c r="E944" s="4"/>
      <c r="F944" s="4"/>
      <c r="G944" s="4"/>
    </row>
    <row r="945" spans="1:7" ht="15.75" x14ac:dyDescent="0.3">
      <c r="A945" t="s">
        <v>1750</v>
      </c>
      <c r="B945"/>
      <c r="C945" s="3" t="s">
        <v>357</v>
      </c>
      <c r="D945" s="4"/>
      <c r="E945" s="4"/>
      <c r="F945" s="4"/>
      <c r="G945" s="4"/>
    </row>
    <row r="946" spans="1:7" ht="15.75" x14ac:dyDescent="0.3">
      <c r="A946" t="s">
        <v>1751</v>
      </c>
      <c r="B946"/>
      <c r="C946" s="3" t="s">
        <v>359</v>
      </c>
      <c r="D946" s="4"/>
      <c r="E946" s="4"/>
      <c r="F946" s="4"/>
      <c r="G946" s="4"/>
    </row>
    <row r="947" spans="1:7" ht="15.75" x14ac:dyDescent="0.3">
      <c r="A947" t="s">
        <v>1752</v>
      </c>
      <c r="B947"/>
      <c r="C947" s="3" t="s">
        <v>361</v>
      </c>
      <c r="D947" s="4"/>
      <c r="E947" s="4"/>
      <c r="F947" s="4"/>
      <c r="G947" s="4"/>
    </row>
    <row r="948" spans="1:7" ht="15.75" x14ac:dyDescent="0.3">
      <c r="A948" t="s">
        <v>1753</v>
      </c>
      <c r="B948"/>
      <c r="C948" s="3" t="s">
        <v>363</v>
      </c>
      <c r="D948" s="4"/>
      <c r="E948" s="4"/>
      <c r="F948" s="4"/>
      <c r="G948" s="4"/>
    </row>
    <row r="949" spans="1:7" ht="15.75" x14ac:dyDescent="0.3">
      <c r="A949" t="s">
        <v>1754</v>
      </c>
      <c r="B949"/>
      <c r="C949" s="3" t="s">
        <v>365</v>
      </c>
      <c r="D949" s="4"/>
      <c r="E949" s="4"/>
      <c r="F949" s="4"/>
      <c r="G949" s="4"/>
    </row>
    <row r="950" spans="1:7" ht="15.75" x14ac:dyDescent="0.3">
      <c r="A950" t="s">
        <v>1755</v>
      </c>
      <c r="B950"/>
      <c r="C950" s="3" t="s">
        <v>367</v>
      </c>
      <c r="D950" s="4"/>
      <c r="E950" s="4"/>
      <c r="F950" s="4"/>
      <c r="G950" s="4"/>
    </row>
    <row r="951" spans="1:7" ht="15.75" x14ac:dyDescent="0.3">
      <c r="A951" t="s">
        <v>1756</v>
      </c>
      <c r="B951"/>
      <c r="C951" s="3" t="s">
        <v>1757</v>
      </c>
      <c r="D951" s="4"/>
      <c r="E951" s="4"/>
      <c r="F951" s="4"/>
      <c r="G951" s="4"/>
    </row>
    <row r="952" spans="1:7" ht="15.75" x14ac:dyDescent="0.3">
      <c r="A952" t="s">
        <v>1758</v>
      </c>
      <c r="B952"/>
      <c r="C952" s="3" t="s">
        <v>1759</v>
      </c>
      <c r="D952" s="4"/>
      <c r="E952" s="4"/>
      <c r="F952" s="4"/>
      <c r="G952" s="4"/>
    </row>
    <row r="953" spans="1:7" ht="15.75" x14ac:dyDescent="0.3">
      <c r="A953" t="s">
        <v>1760</v>
      </c>
      <c r="B953"/>
      <c r="C953" s="3" t="s">
        <v>1761</v>
      </c>
      <c r="D953" s="4"/>
      <c r="E953" s="4"/>
      <c r="F953" s="4"/>
      <c r="G953" s="4"/>
    </row>
    <row r="954" spans="1:7" ht="15.75" x14ac:dyDescent="0.3">
      <c r="A954" t="s">
        <v>1762</v>
      </c>
      <c r="B954"/>
      <c r="C954" s="3" t="s">
        <v>1763</v>
      </c>
      <c r="D954" s="4"/>
      <c r="E954" s="4"/>
      <c r="F954" s="4"/>
      <c r="G954" s="4"/>
    </row>
    <row r="955" spans="1:7" ht="15.75" x14ac:dyDescent="0.3">
      <c r="A955" t="s">
        <v>1764</v>
      </c>
      <c r="B955"/>
      <c r="C955" s="3" t="s">
        <v>1765</v>
      </c>
      <c r="D955" s="4"/>
      <c r="E955" s="4"/>
      <c r="F955" s="4"/>
      <c r="G955" s="4"/>
    </row>
    <row r="956" spans="1:7" ht="15.75" x14ac:dyDescent="0.3">
      <c r="A956" t="s">
        <v>1766</v>
      </c>
      <c r="B956"/>
      <c r="C956" s="3" t="s">
        <v>1767</v>
      </c>
      <c r="D956" s="4"/>
      <c r="E956" s="4"/>
      <c r="F956" s="4"/>
      <c r="G956" s="4"/>
    </row>
    <row r="957" spans="1:7" ht="15.75" x14ac:dyDescent="0.3">
      <c r="A957" t="s">
        <v>1768</v>
      </c>
      <c r="B957"/>
      <c r="C957" s="3" t="s">
        <v>1769</v>
      </c>
      <c r="D957" s="4"/>
      <c r="E957" s="4"/>
      <c r="F957" s="4"/>
      <c r="G957" s="4"/>
    </row>
    <row r="958" spans="1:7" ht="15.75" x14ac:dyDescent="0.3">
      <c r="A958" t="s">
        <v>1770</v>
      </c>
      <c r="B958"/>
      <c r="C958" s="3" t="s">
        <v>1771</v>
      </c>
      <c r="D958" s="4"/>
      <c r="E958" s="4"/>
      <c r="F958" s="4"/>
      <c r="G958" s="4"/>
    </row>
    <row r="959" spans="1:7" ht="15.75" x14ac:dyDescent="0.3">
      <c r="A959" t="s">
        <v>1772</v>
      </c>
      <c r="B959"/>
      <c r="C959" s="3" t="s">
        <v>1773</v>
      </c>
      <c r="D959" s="4"/>
      <c r="E959" s="4"/>
      <c r="F959" s="4"/>
      <c r="G959" s="4"/>
    </row>
    <row r="960" spans="1:7" ht="15.75" x14ac:dyDescent="0.3">
      <c r="A960" t="s">
        <v>1774</v>
      </c>
      <c r="B960"/>
      <c r="C960" s="3" t="s">
        <v>1775</v>
      </c>
      <c r="D960" s="4"/>
      <c r="E960" s="4"/>
      <c r="F960" s="4"/>
      <c r="G960" s="4"/>
    </row>
    <row r="961" spans="1:7" ht="15.75" x14ac:dyDescent="0.3">
      <c r="A961" t="s">
        <v>1776</v>
      </c>
      <c r="B961"/>
      <c r="C961" s="3" t="s">
        <v>1777</v>
      </c>
      <c r="D961" s="4"/>
      <c r="E961" s="4"/>
      <c r="F961" s="4"/>
      <c r="G961" s="4"/>
    </row>
    <row r="962" spans="1:7" ht="15.75" x14ac:dyDescent="0.3">
      <c r="A962" t="s">
        <v>1778</v>
      </c>
      <c r="B962"/>
      <c r="C962" s="3" t="s">
        <v>1779</v>
      </c>
      <c r="D962" s="4"/>
      <c r="E962" s="4"/>
      <c r="F962" s="4"/>
      <c r="G962" s="4"/>
    </row>
    <row r="963" spans="1:7" ht="15.75" x14ac:dyDescent="0.3">
      <c r="A963" t="s">
        <v>1780</v>
      </c>
      <c r="B963"/>
      <c r="C963" s="3" t="s">
        <v>1781</v>
      </c>
      <c r="D963" s="4"/>
      <c r="E963" s="4"/>
      <c r="F963" s="4"/>
      <c r="G963" s="4"/>
    </row>
    <row r="964" spans="1:7" ht="15.75" x14ac:dyDescent="0.3">
      <c r="A964" t="s">
        <v>1782</v>
      </c>
      <c r="B964"/>
      <c r="C964" s="3" t="s">
        <v>1783</v>
      </c>
      <c r="D964" s="4"/>
      <c r="E964" s="4"/>
      <c r="F964" s="4"/>
      <c r="G964" s="4"/>
    </row>
    <row r="965" spans="1:7" ht="15.75" x14ac:dyDescent="0.3">
      <c r="A965" t="s">
        <v>1784</v>
      </c>
      <c r="B965"/>
      <c r="C965" s="3" t="s">
        <v>1785</v>
      </c>
      <c r="D965" s="4"/>
      <c r="E965" s="4"/>
      <c r="F965" s="4"/>
      <c r="G965" s="4"/>
    </row>
    <row r="966" spans="1:7" ht="15.75" x14ac:dyDescent="0.3">
      <c r="A966" t="s">
        <v>1786</v>
      </c>
      <c r="B966"/>
      <c r="C966" s="3" t="s">
        <v>1769</v>
      </c>
      <c r="D966" s="4"/>
      <c r="E966" s="4"/>
      <c r="F966" s="4"/>
      <c r="G966" s="4"/>
    </row>
    <row r="967" spans="1:7" ht="15.75" x14ac:dyDescent="0.3">
      <c r="A967" t="s">
        <v>1787</v>
      </c>
      <c r="B967"/>
      <c r="C967" s="3" t="s">
        <v>1769</v>
      </c>
      <c r="D967" s="4"/>
      <c r="E967" s="4"/>
      <c r="F967" s="4"/>
      <c r="G967" s="4"/>
    </row>
    <row r="968" spans="1:7" ht="15.75" x14ac:dyDescent="0.3">
      <c r="A968" t="s">
        <v>1788</v>
      </c>
      <c r="B968"/>
      <c r="C968" s="3" t="s">
        <v>1789</v>
      </c>
      <c r="D968" s="4"/>
      <c r="E968" s="4"/>
      <c r="F968" s="4"/>
      <c r="G968" s="4"/>
    </row>
    <row r="969" spans="1:7" ht="15.75" x14ac:dyDescent="0.3">
      <c r="A969" t="s">
        <v>1790</v>
      </c>
      <c r="B969"/>
      <c r="C969" s="3" t="s">
        <v>1791</v>
      </c>
      <c r="D969" s="4"/>
      <c r="E969" s="4"/>
      <c r="F969" s="4"/>
      <c r="G969" s="4"/>
    </row>
    <row r="970" spans="1:7" ht="15.75" x14ac:dyDescent="0.3">
      <c r="A970" t="s">
        <v>1792</v>
      </c>
      <c r="B970"/>
      <c r="C970" s="3" t="s">
        <v>1793</v>
      </c>
      <c r="D970" s="4"/>
      <c r="E970" s="4"/>
      <c r="F970" s="4"/>
      <c r="G970" s="4"/>
    </row>
    <row r="971" spans="1:7" ht="15.75" x14ac:dyDescent="0.3">
      <c r="A971" t="s">
        <v>1794</v>
      </c>
      <c r="B971"/>
      <c r="C971" s="3" t="s">
        <v>1795</v>
      </c>
      <c r="D971" s="4"/>
      <c r="E971" s="4"/>
      <c r="F971" s="4"/>
      <c r="G971" s="4"/>
    </row>
    <row r="972" spans="1:7" ht="15.75" x14ac:dyDescent="0.3">
      <c r="A972" t="s">
        <v>1796</v>
      </c>
      <c r="B972"/>
      <c r="C972" s="3" t="s">
        <v>1797</v>
      </c>
      <c r="D972" s="4"/>
      <c r="E972" s="4"/>
      <c r="F972" s="4"/>
      <c r="G972" s="4"/>
    </row>
    <row r="973" spans="1:7" ht="15.75" x14ac:dyDescent="0.3">
      <c r="A973" t="s">
        <v>1798</v>
      </c>
      <c r="B973"/>
      <c r="C973" s="3" t="s">
        <v>1771</v>
      </c>
      <c r="D973" s="4"/>
      <c r="E973" s="4"/>
      <c r="F973" s="4"/>
      <c r="G973" s="4"/>
    </row>
    <row r="974" spans="1:7" ht="15.75" x14ac:dyDescent="0.3">
      <c r="A974" t="s">
        <v>1799</v>
      </c>
      <c r="B974"/>
      <c r="C974" s="3" t="s">
        <v>1773</v>
      </c>
      <c r="D974" s="4"/>
      <c r="E974" s="4"/>
      <c r="F974" s="4"/>
      <c r="G974" s="4"/>
    </row>
    <row r="975" spans="1:7" ht="15.75" x14ac:dyDescent="0.3">
      <c r="A975" t="s">
        <v>1800</v>
      </c>
      <c r="B975"/>
      <c r="C975" s="3" t="s">
        <v>1775</v>
      </c>
      <c r="D975" s="4"/>
      <c r="E975" s="4"/>
      <c r="F975" s="4"/>
      <c r="G975" s="4"/>
    </row>
    <row r="976" spans="1:7" ht="15.75" x14ac:dyDescent="0.3">
      <c r="A976" t="s">
        <v>1801</v>
      </c>
      <c r="B976"/>
      <c r="C976" s="3" t="s">
        <v>1759</v>
      </c>
      <c r="D976" s="4"/>
      <c r="E976" s="4"/>
      <c r="F976" s="4"/>
      <c r="G976" s="4"/>
    </row>
    <row r="977" spans="1:7" ht="15.75" x14ac:dyDescent="0.3">
      <c r="A977" t="s">
        <v>1802</v>
      </c>
      <c r="B977"/>
      <c r="C977" s="3" t="s">
        <v>1793</v>
      </c>
      <c r="D977" s="4"/>
      <c r="E977" s="4"/>
      <c r="F977" s="4"/>
      <c r="G977" s="4"/>
    </row>
    <row r="978" spans="1:7" ht="15.75" x14ac:dyDescent="0.3">
      <c r="A978" t="s">
        <v>1803</v>
      </c>
      <c r="B978"/>
      <c r="C978" s="3" t="s">
        <v>1777</v>
      </c>
      <c r="D978" s="4"/>
      <c r="E978" s="4"/>
      <c r="F978" s="4"/>
      <c r="G978" s="4"/>
    </row>
    <row r="979" spans="1:7" ht="15.75" x14ac:dyDescent="0.3">
      <c r="A979" t="s">
        <v>1804</v>
      </c>
      <c r="B979"/>
      <c r="C979" s="3" t="s">
        <v>1797</v>
      </c>
      <c r="D979" s="4"/>
      <c r="E979" s="4"/>
      <c r="F979" s="4"/>
      <c r="G979" s="4"/>
    </row>
    <row r="980" spans="1:7" ht="15.75" x14ac:dyDescent="0.3">
      <c r="A980" t="s">
        <v>1805</v>
      </c>
      <c r="B980"/>
      <c r="C980" s="3" t="s">
        <v>1779</v>
      </c>
      <c r="D980" s="4"/>
      <c r="E980" s="4"/>
      <c r="F980" s="4"/>
      <c r="G980" s="4"/>
    </row>
    <row r="981" spans="1:7" ht="15.75" x14ac:dyDescent="0.3">
      <c r="A981" t="s">
        <v>1806</v>
      </c>
      <c r="B981"/>
      <c r="C981" s="3" t="s">
        <v>1781</v>
      </c>
      <c r="D981" s="4"/>
      <c r="E981" s="4"/>
      <c r="F981" s="4"/>
      <c r="G981" s="4"/>
    </row>
    <row r="982" spans="1:7" ht="15.75" x14ac:dyDescent="0.3">
      <c r="A982" t="s">
        <v>1807</v>
      </c>
      <c r="B982"/>
      <c r="C982" s="3" t="s">
        <v>1783</v>
      </c>
      <c r="D982" s="4"/>
      <c r="E982" s="4"/>
      <c r="F982" s="4"/>
      <c r="G982" s="4"/>
    </row>
    <row r="983" spans="1:7" ht="15.75" x14ac:dyDescent="0.3">
      <c r="A983" t="s">
        <v>1808</v>
      </c>
      <c r="B983"/>
      <c r="C983" s="3" t="s">
        <v>1785</v>
      </c>
      <c r="D983" s="4"/>
      <c r="E983" s="4"/>
      <c r="F983" s="4"/>
      <c r="G983" s="4"/>
    </row>
    <row r="984" spans="1:7" ht="15.75" x14ac:dyDescent="0.3">
      <c r="A984" t="s">
        <v>1809</v>
      </c>
      <c r="B984"/>
      <c r="C984" s="3" t="s">
        <v>379</v>
      </c>
      <c r="D984" s="4"/>
      <c r="E984" s="4"/>
      <c r="F984" s="4"/>
      <c r="G984" s="4"/>
    </row>
    <row r="985" spans="1:7" ht="15.75" x14ac:dyDescent="0.3">
      <c r="A985" t="s">
        <v>1810</v>
      </c>
      <c r="B985"/>
      <c r="C985" s="3" t="s">
        <v>381</v>
      </c>
      <c r="D985" s="4"/>
      <c r="E985" s="4"/>
      <c r="F985" s="4"/>
      <c r="G985" s="4"/>
    </row>
    <row r="986" spans="1:7" ht="15.75" x14ac:dyDescent="0.3">
      <c r="A986" t="s">
        <v>1811</v>
      </c>
      <c r="B986"/>
      <c r="C986" s="3" t="s">
        <v>383</v>
      </c>
      <c r="D986" s="4"/>
      <c r="E986" s="4"/>
      <c r="F986" s="4"/>
      <c r="G986" s="4"/>
    </row>
    <row r="987" spans="1:7" ht="15.75" x14ac:dyDescent="0.3">
      <c r="A987" t="s">
        <v>1812</v>
      </c>
      <c r="B987"/>
      <c r="C987" s="3" t="s">
        <v>385</v>
      </c>
      <c r="D987" s="4"/>
      <c r="E987" s="4"/>
      <c r="F987" s="4"/>
      <c r="G987" s="4"/>
    </row>
    <row r="988" spans="1:7" ht="15.75" x14ac:dyDescent="0.3">
      <c r="A988" t="s">
        <v>1813</v>
      </c>
      <c r="B988"/>
      <c r="C988" s="3" t="s">
        <v>387</v>
      </c>
      <c r="D988" s="4"/>
      <c r="E988" s="4"/>
      <c r="F988" s="4"/>
      <c r="G988" s="4"/>
    </row>
    <row r="989" spans="1:7" ht="15.75" x14ac:dyDescent="0.3">
      <c r="A989" t="s">
        <v>1814</v>
      </c>
      <c r="B989"/>
      <c r="C989" s="3" t="s">
        <v>389</v>
      </c>
      <c r="D989" s="4"/>
      <c r="E989" s="4"/>
      <c r="F989" s="4"/>
      <c r="G989" s="4"/>
    </row>
    <row r="990" spans="1:7" ht="15.75" x14ac:dyDescent="0.3">
      <c r="A990" t="s">
        <v>1815</v>
      </c>
      <c r="B990"/>
      <c r="C990" s="3" t="s">
        <v>391</v>
      </c>
      <c r="D990" s="4"/>
      <c r="E990" s="4"/>
      <c r="F990" s="4"/>
      <c r="G990" s="4"/>
    </row>
    <row r="991" spans="1:7" ht="15.75" x14ac:dyDescent="0.3">
      <c r="A991" t="s">
        <v>1816</v>
      </c>
      <c r="B991"/>
      <c r="C991" s="3" t="s">
        <v>393</v>
      </c>
      <c r="D991" s="4"/>
      <c r="E991" s="4"/>
      <c r="F991" s="4"/>
      <c r="G991" s="4"/>
    </row>
    <row r="992" spans="1:7" ht="15.75" x14ac:dyDescent="0.3">
      <c r="A992" t="s">
        <v>1817</v>
      </c>
      <c r="B992"/>
      <c r="C992" s="3" t="s">
        <v>395</v>
      </c>
      <c r="D992" s="4"/>
      <c r="E992" s="4"/>
      <c r="F992" s="4"/>
      <c r="G992" s="4"/>
    </row>
    <row r="993" spans="1:7" ht="15.75" x14ac:dyDescent="0.3">
      <c r="A993" t="s">
        <v>1818</v>
      </c>
      <c r="B993"/>
      <c r="C993" s="3" t="s">
        <v>397</v>
      </c>
      <c r="D993" s="4"/>
      <c r="E993" s="4"/>
      <c r="F993" s="4"/>
      <c r="G993" s="4"/>
    </row>
    <row r="994" spans="1:7" ht="15.75" x14ac:dyDescent="0.3">
      <c r="A994" t="s">
        <v>1819</v>
      </c>
      <c r="B994"/>
      <c r="C994" s="3" t="s">
        <v>399</v>
      </c>
      <c r="D994" s="4"/>
      <c r="E994" s="4"/>
      <c r="F994" s="4"/>
      <c r="G994" s="4"/>
    </row>
    <row r="995" spans="1:7" ht="15.75" x14ac:dyDescent="0.3">
      <c r="A995" t="s">
        <v>1820</v>
      </c>
      <c r="B995"/>
      <c r="C995" s="3" t="s">
        <v>401</v>
      </c>
      <c r="D995" s="4"/>
      <c r="E995" s="4"/>
      <c r="F995" s="4"/>
      <c r="G995" s="4"/>
    </row>
    <row r="996" spans="1:7" ht="15.75" x14ac:dyDescent="0.3">
      <c r="A996" t="s">
        <v>1821</v>
      </c>
      <c r="B996"/>
      <c r="C996" s="3" t="s">
        <v>403</v>
      </c>
      <c r="D996" s="4"/>
      <c r="E996" s="4"/>
      <c r="F996" s="4"/>
      <c r="G996" s="4"/>
    </row>
    <row r="997" spans="1:7" ht="15.75" x14ac:dyDescent="0.3">
      <c r="A997" t="s">
        <v>1822</v>
      </c>
      <c r="B997"/>
      <c r="C997" s="3" t="s">
        <v>405</v>
      </c>
      <c r="D997" s="4"/>
      <c r="E997" s="4"/>
      <c r="F997" s="4"/>
      <c r="G997" s="4"/>
    </row>
    <row r="998" spans="1:7" ht="15.75" x14ac:dyDescent="0.3">
      <c r="A998" t="s">
        <v>1823</v>
      </c>
      <c r="B998"/>
      <c r="C998" s="3" t="s">
        <v>407</v>
      </c>
      <c r="D998" s="4"/>
      <c r="E998" s="4"/>
      <c r="F998" s="4"/>
      <c r="G998" s="4"/>
    </row>
    <row r="999" spans="1:7" ht="15.75" x14ac:dyDescent="0.3">
      <c r="A999" t="s">
        <v>1824</v>
      </c>
      <c r="B999"/>
      <c r="C999" s="3" t="s">
        <v>409</v>
      </c>
      <c r="D999" s="4"/>
      <c r="E999" s="4"/>
      <c r="F999" s="4"/>
      <c r="G999" s="4"/>
    </row>
    <row r="1000" spans="1:7" ht="15.75" x14ac:dyDescent="0.3">
      <c r="A1000" t="s">
        <v>1825</v>
      </c>
      <c r="B1000"/>
      <c r="C1000" s="3" t="s">
        <v>411</v>
      </c>
      <c r="D1000" s="4"/>
      <c r="E1000" s="4"/>
      <c r="F1000" s="4"/>
      <c r="G1000" s="4"/>
    </row>
    <row r="1001" spans="1:7" ht="15.75" x14ac:dyDescent="0.3">
      <c r="A1001" t="s">
        <v>1826</v>
      </c>
      <c r="B1001"/>
      <c r="C1001" s="3" t="s">
        <v>413</v>
      </c>
      <c r="D1001" s="4"/>
      <c r="E1001" s="4"/>
      <c r="F1001" s="4"/>
      <c r="G1001" s="4"/>
    </row>
    <row r="1002" spans="1:7" ht="15.75" x14ac:dyDescent="0.3">
      <c r="A1002" t="s">
        <v>1827</v>
      </c>
      <c r="B1002"/>
      <c r="C1002" s="3" t="s">
        <v>415</v>
      </c>
      <c r="D1002" s="4"/>
      <c r="E1002" s="4"/>
      <c r="F1002" s="4"/>
      <c r="G1002" s="4"/>
    </row>
    <row r="1003" spans="1:7" ht="15.75" x14ac:dyDescent="0.3">
      <c r="A1003" t="s">
        <v>1828</v>
      </c>
      <c r="B1003"/>
      <c r="C1003" s="3" t="s">
        <v>417</v>
      </c>
      <c r="D1003" s="4"/>
      <c r="E1003" s="4"/>
      <c r="F1003" s="4"/>
      <c r="G1003" s="4"/>
    </row>
    <row r="1004" spans="1:7" ht="15.75" x14ac:dyDescent="0.3">
      <c r="A1004" t="s">
        <v>1829</v>
      </c>
      <c r="B1004"/>
      <c r="C1004" s="3" t="s">
        <v>419</v>
      </c>
      <c r="D1004" s="4"/>
      <c r="E1004" s="4"/>
      <c r="F1004" s="4"/>
      <c r="G1004" s="4"/>
    </row>
    <row r="1005" spans="1:7" ht="15.75" x14ac:dyDescent="0.3">
      <c r="A1005" t="s">
        <v>1830</v>
      </c>
      <c r="B1005"/>
      <c r="C1005" s="3" t="s">
        <v>421</v>
      </c>
      <c r="D1005" s="4"/>
      <c r="E1005" s="4"/>
      <c r="F1005" s="4"/>
      <c r="G1005" s="4"/>
    </row>
    <row r="1006" spans="1:7" ht="15.75" x14ac:dyDescent="0.3">
      <c r="A1006" t="s">
        <v>1831</v>
      </c>
      <c r="B1006"/>
      <c r="C1006" s="3" t="s">
        <v>423</v>
      </c>
      <c r="D1006" s="4"/>
      <c r="E1006" s="4"/>
      <c r="F1006" s="4"/>
      <c r="G1006" s="4"/>
    </row>
    <row r="1007" spans="1:7" ht="15.75" x14ac:dyDescent="0.3">
      <c r="A1007" t="s">
        <v>1832</v>
      </c>
      <c r="B1007"/>
      <c r="C1007" s="3" t="s">
        <v>425</v>
      </c>
      <c r="D1007" s="4"/>
      <c r="E1007" s="4"/>
      <c r="F1007" s="4"/>
      <c r="G1007" s="4"/>
    </row>
    <row r="1008" spans="1:7" ht="15.75" x14ac:dyDescent="0.3">
      <c r="A1008" t="s">
        <v>1833</v>
      </c>
      <c r="B1008"/>
      <c r="C1008" s="3" t="s">
        <v>427</v>
      </c>
      <c r="D1008" s="4"/>
      <c r="E1008" s="4"/>
      <c r="F1008" s="4"/>
      <c r="G1008" s="4"/>
    </row>
    <row r="1009" spans="1:7" ht="15.75" x14ac:dyDescent="0.3">
      <c r="A1009" t="s">
        <v>1834</v>
      </c>
      <c r="B1009"/>
      <c r="C1009" s="3" t="s">
        <v>429</v>
      </c>
      <c r="D1009" s="4"/>
      <c r="E1009" s="4"/>
      <c r="F1009" s="4"/>
      <c r="G1009" s="4"/>
    </row>
    <row r="1010" spans="1:7" ht="15.75" x14ac:dyDescent="0.3">
      <c r="A1010" t="s">
        <v>1835</v>
      </c>
      <c r="B1010"/>
      <c r="C1010" s="3" t="s">
        <v>431</v>
      </c>
      <c r="D1010" s="4"/>
      <c r="E1010" s="4"/>
      <c r="F1010" s="4"/>
      <c r="G1010" s="4"/>
    </row>
    <row r="1011" spans="1:7" ht="15.75" x14ac:dyDescent="0.3">
      <c r="A1011" t="s">
        <v>1836</v>
      </c>
      <c r="B1011"/>
      <c r="C1011" s="3" t="s">
        <v>433</v>
      </c>
      <c r="D1011" s="4"/>
      <c r="E1011" s="4"/>
      <c r="F1011" s="4"/>
      <c r="G1011" s="4"/>
    </row>
    <row r="1012" spans="1:7" ht="15.75" x14ac:dyDescent="0.3">
      <c r="A1012" t="s">
        <v>1837</v>
      </c>
      <c r="B1012"/>
      <c r="C1012" s="3" t="s">
        <v>435</v>
      </c>
      <c r="D1012" s="4"/>
      <c r="E1012" s="4"/>
      <c r="F1012" s="4"/>
      <c r="G1012" s="4"/>
    </row>
    <row r="1013" spans="1:7" ht="15.75" x14ac:dyDescent="0.3">
      <c r="A1013" t="s">
        <v>1838</v>
      </c>
      <c r="B1013"/>
      <c r="C1013" s="3" t="s">
        <v>23</v>
      </c>
      <c r="D1013" s="4"/>
      <c r="E1013" s="4"/>
      <c r="F1013" s="4"/>
      <c r="G1013" s="4"/>
    </row>
    <row r="1014" spans="1:7" ht="15.75" x14ac:dyDescent="0.3">
      <c r="A1014" t="s">
        <v>1839</v>
      </c>
      <c r="B1014"/>
      <c r="C1014" s="3" t="s">
        <v>438</v>
      </c>
      <c r="D1014" s="4"/>
      <c r="E1014" s="4"/>
      <c r="F1014" s="4"/>
      <c r="G1014" s="4"/>
    </row>
    <row r="1015" spans="1:7" ht="15.75" x14ac:dyDescent="0.3">
      <c r="A1015" t="s">
        <v>1840</v>
      </c>
      <c r="B1015"/>
      <c r="C1015" s="3" t="s">
        <v>440</v>
      </c>
      <c r="D1015" s="4"/>
      <c r="E1015" s="4"/>
      <c r="F1015" s="4"/>
      <c r="G1015" s="4"/>
    </row>
    <row r="1016" spans="1:7" ht="15.75" x14ac:dyDescent="0.3">
      <c r="A1016" t="s">
        <v>1841</v>
      </c>
      <c r="B1016"/>
      <c r="C1016" s="3" t="s">
        <v>442</v>
      </c>
      <c r="D1016" s="4"/>
      <c r="E1016" s="4"/>
      <c r="F1016" s="4"/>
      <c r="G1016" s="4"/>
    </row>
    <row r="1017" spans="1:7" ht="15.75" x14ac:dyDescent="0.3">
      <c r="A1017" t="s">
        <v>1842</v>
      </c>
      <c r="B1017"/>
      <c r="C1017" s="3" t="s">
        <v>444</v>
      </c>
      <c r="D1017" s="4"/>
      <c r="E1017" s="4"/>
      <c r="F1017" s="4"/>
      <c r="G1017" s="4"/>
    </row>
    <row r="1018" spans="1:7" ht="15.75" x14ac:dyDescent="0.3">
      <c r="A1018" t="s">
        <v>1843</v>
      </c>
      <c r="B1018"/>
      <c r="C1018" s="3" t="s">
        <v>446</v>
      </c>
      <c r="D1018" s="4"/>
      <c r="E1018" s="4"/>
      <c r="F1018" s="4"/>
      <c r="G1018" s="4"/>
    </row>
    <row r="1019" spans="1:7" ht="15.75" x14ac:dyDescent="0.3">
      <c r="A1019" t="s">
        <v>1844</v>
      </c>
      <c r="B1019"/>
      <c r="C1019" s="3" t="s">
        <v>448</v>
      </c>
      <c r="D1019" s="4"/>
      <c r="E1019" s="4"/>
      <c r="F1019" s="4"/>
      <c r="G1019" s="4"/>
    </row>
    <row r="1020" spans="1:7" ht="15.75" x14ac:dyDescent="0.3">
      <c r="A1020" t="s">
        <v>1845</v>
      </c>
      <c r="B1020"/>
      <c r="C1020" s="3" t="s">
        <v>450</v>
      </c>
      <c r="D1020" s="4"/>
      <c r="E1020" s="4"/>
      <c r="F1020" s="4"/>
      <c r="G1020" s="4"/>
    </row>
    <row r="1021" spans="1:7" ht="15.75" x14ac:dyDescent="0.3">
      <c r="A1021" t="s">
        <v>1846</v>
      </c>
      <c r="B1021"/>
      <c r="C1021" s="3" t="s">
        <v>452</v>
      </c>
      <c r="D1021" s="4"/>
      <c r="E1021" s="4"/>
      <c r="F1021" s="4"/>
      <c r="G1021" s="4"/>
    </row>
    <row r="1022" spans="1:7" ht="15.75" x14ac:dyDescent="0.3">
      <c r="A1022" t="s">
        <v>1847</v>
      </c>
      <c r="B1022"/>
      <c r="C1022" s="3" t="s">
        <v>454</v>
      </c>
      <c r="D1022" s="4"/>
      <c r="E1022" s="4"/>
      <c r="F1022" s="4"/>
      <c r="G1022" s="4"/>
    </row>
    <row r="1023" spans="1:7" ht="15.75" x14ac:dyDescent="0.3">
      <c r="A1023" t="s">
        <v>1848</v>
      </c>
      <c r="B1023"/>
      <c r="C1023" s="3" t="s">
        <v>456</v>
      </c>
      <c r="D1023" s="4"/>
      <c r="E1023" s="4"/>
      <c r="F1023" s="4"/>
      <c r="G1023" s="4"/>
    </row>
    <row r="1024" spans="1:7" ht="15.75" x14ac:dyDescent="0.3">
      <c r="A1024" t="s">
        <v>1849</v>
      </c>
      <c r="B1024"/>
      <c r="C1024" s="3" t="s">
        <v>458</v>
      </c>
      <c r="D1024" s="4"/>
      <c r="E1024" s="4"/>
      <c r="F1024" s="4"/>
      <c r="G1024" s="4"/>
    </row>
    <row r="1025" spans="1:7" ht="15.75" x14ac:dyDescent="0.3">
      <c r="A1025" t="s">
        <v>1850</v>
      </c>
      <c r="B1025"/>
      <c r="C1025" s="3" t="s">
        <v>460</v>
      </c>
      <c r="D1025" s="4"/>
      <c r="E1025" s="4"/>
      <c r="F1025" s="4"/>
      <c r="G1025" s="4"/>
    </row>
    <row r="1026" spans="1:7" ht="15.75" x14ac:dyDescent="0.3">
      <c r="A1026" t="s">
        <v>1851</v>
      </c>
      <c r="B1026"/>
      <c r="C1026" s="3" t="s">
        <v>462</v>
      </c>
      <c r="D1026" s="4"/>
      <c r="E1026" s="4"/>
      <c r="F1026" s="4"/>
      <c r="G1026" s="4"/>
    </row>
    <row r="1027" spans="1:7" ht="15.75" x14ac:dyDescent="0.3">
      <c r="A1027" t="s">
        <v>1852</v>
      </c>
      <c r="B1027"/>
      <c r="C1027" s="3" t="s">
        <v>464</v>
      </c>
      <c r="D1027" s="4"/>
      <c r="E1027" s="4"/>
      <c r="F1027" s="4"/>
      <c r="G1027" s="4"/>
    </row>
    <row r="1028" spans="1:7" ht="15.75" x14ac:dyDescent="0.3">
      <c r="A1028" t="s">
        <v>1853</v>
      </c>
      <c r="B1028"/>
      <c r="C1028" s="3" t="s">
        <v>24</v>
      </c>
      <c r="D1028" s="4"/>
      <c r="E1028" s="4"/>
      <c r="F1028" s="4"/>
      <c r="G1028" s="4"/>
    </row>
    <row r="1029" spans="1:7" ht="15.75" x14ac:dyDescent="0.3">
      <c r="A1029" t="s">
        <v>1854</v>
      </c>
      <c r="B1029"/>
      <c r="C1029" s="3" t="s">
        <v>467</v>
      </c>
      <c r="D1029" s="4"/>
      <c r="E1029" s="4"/>
      <c r="F1029" s="4"/>
      <c r="G1029" s="4"/>
    </row>
    <row r="1030" spans="1:7" ht="15.75" x14ac:dyDescent="0.3">
      <c r="A1030" t="s">
        <v>1855</v>
      </c>
      <c r="B1030"/>
      <c r="C1030" s="3" t="s">
        <v>469</v>
      </c>
      <c r="D1030" s="4"/>
      <c r="E1030" s="4"/>
      <c r="F1030" s="4"/>
      <c r="G1030" s="4"/>
    </row>
    <row r="1031" spans="1:7" ht="15.75" x14ac:dyDescent="0.3">
      <c r="A1031" t="s">
        <v>1856</v>
      </c>
      <c r="B1031"/>
      <c r="C1031" s="3" t="s">
        <v>471</v>
      </c>
      <c r="D1031" s="4"/>
      <c r="E1031" s="4"/>
      <c r="F1031" s="4"/>
      <c r="G1031" s="4"/>
    </row>
    <row r="1032" spans="1:7" ht="15.75" x14ac:dyDescent="0.3">
      <c r="A1032" t="s">
        <v>1857</v>
      </c>
      <c r="B1032"/>
      <c r="C1032" s="3" t="s">
        <v>473</v>
      </c>
      <c r="D1032" s="4"/>
      <c r="E1032" s="4"/>
      <c r="F1032" s="4"/>
      <c r="G1032" s="4"/>
    </row>
    <row r="1033" spans="1:7" ht="15.75" x14ac:dyDescent="0.3">
      <c r="A1033" t="s">
        <v>1858</v>
      </c>
      <c r="B1033"/>
      <c r="C1033" s="3" t="s">
        <v>475</v>
      </c>
      <c r="D1033" s="4"/>
      <c r="E1033" s="4"/>
      <c r="F1033" s="4"/>
      <c r="G1033" s="4"/>
    </row>
    <row r="1034" spans="1:7" ht="15.75" x14ac:dyDescent="0.3">
      <c r="A1034" t="s">
        <v>1859</v>
      </c>
      <c r="B1034"/>
      <c r="C1034" s="3" t="s">
        <v>477</v>
      </c>
      <c r="D1034" s="4"/>
      <c r="E1034" s="4"/>
      <c r="F1034" s="4"/>
      <c r="G1034" s="4"/>
    </row>
    <row r="1035" spans="1:7" ht="15.75" x14ac:dyDescent="0.3">
      <c r="A1035" t="s">
        <v>1860</v>
      </c>
      <c r="B1035"/>
      <c r="C1035" s="3" t="s">
        <v>479</v>
      </c>
      <c r="D1035" s="4"/>
      <c r="E1035" s="4"/>
      <c r="F1035" s="4"/>
      <c r="G1035" s="4"/>
    </row>
    <row r="1036" spans="1:7" ht="15.75" x14ac:dyDescent="0.3">
      <c r="A1036" t="s">
        <v>1861</v>
      </c>
      <c r="B1036"/>
      <c r="C1036" s="3" t="s">
        <v>481</v>
      </c>
      <c r="D1036" s="4"/>
      <c r="E1036" s="4"/>
      <c r="F1036" s="4"/>
      <c r="G1036" s="4"/>
    </row>
    <row r="1037" spans="1:7" ht="15.75" x14ac:dyDescent="0.3">
      <c r="A1037" t="s">
        <v>1862</v>
      </c>
      <c r="B1037"/>
      <c r="C1037" s="3" t="s">
        <v>483</v>
      </c>
      <c r="D1037" s="4"/>
      <c r="E1037" s="4"/>
      <c r="F1037" s="4"/>
      <c r="G1037" s="4"/>
    </row>
    <row r="1038" spans="1:7" ht="15.75" x14ac:dyDescent="0.3">
      <c r="A1038" t="s">
        <v>1863</v>
      </c>
      <c r="B1038"/>
      <c r="C1038" s="3" t="s">
        <v>485</v>
      </c>
      <c r="D1038" s="4"/>
      <c r="E1038" s="4"/>
      <c r="F1038" s="4"/>
      <c r="G1038" s="4"/>
    </row>
    <row r="1039" spans="1:7" ht="15.75" x14ac:dyDescent="0.3">
      <c r="A1039" t="s">
        <v>1864</v>
      </c>
      <c r="B1039"/>
      <c r="C1039" s="3" t="s">
        <v>487</v>
      </c>
      <c r="D1039" s="4"/>
      <c r="E1039" s="4"/>
      <c r="F1039" s="4"/>
      <c r="G1039" s="4"/>
    </row>
    <row r="1040" spans="1:7" ht="15.75" x14ac:dyDescent="0.3">
      <c r="A1040" t="s">
        <v>1865</v>
      </c>
      <c r="B1040"/>
      <c r="C1040" s="3" t="s">
        <v>489</v>
      </c>
      <c r="D1040" s="4"/>
      <c r="E1040" s="4"/>
      <c r="F1040" s="4"/>
      <c r="G1040" s="4"/>
    </row>
    <row r="1041" spans="1:8" ht="15.75" x14ac:dyDescent="0.3">
      <c r="A1041" t="s">
        <v>1866</v>
      </c>
      <c r="B1041"/>
      <c r="C1041" s="3" t="s">
        <v>491</v>
      </c>
      <c r="D1041" s="4"/>
      <c r="E1041" s="4"/>
      <c r="F1041" s="4"/>
      <c r="G1041" s="4"/>
    </row>
    <row r="1042" spans="1:8" ht="15.75" x14ac:dyDescent="0.3">
      <c r="A1042" t="s">
        <v>1867</v>
      </c>
      <c r="B1042"/>
      <c r="C1042" s="3" t="s">
        <v>493</v>
      </c>
      <c r="D1042" s="4"/>
      <c r="E1042" s="4"/>
      <c r="F1042" s="4"/>
      <c r="G1042" s="4"/>
    </row>
    <row r="1043" spans="1:8" ht="15.75" x14ac:dyDescent="0.3">
      <c r="A1043" t="s">
        <v>1868</v>
      </c>
      <c r="B1043"/>
      <c r="C1043" s="3" t="s">
        <v>495</v>
      </c>
      <c r="D1043" s="4"/>
      <c r="E1043" s="4"/>
      <c r="F1043" s="4"/>
      <c r="G1043" s="4"/>
    </row>
    <row r="1044" spans="1:8" ht="15.75" x14ac:dyDescent="0.3">
      <c r="A1044" t="s">
        <v>1869</v>
      </c>
      <c r="B1044"/>
      <c r="C1044" s="3" t="s">
        <v>497</v>
      </c>
      <c r="D1044" s="4"/>
      <c r="E1044" s="4"/>
      <c r="F1044" s="4"/>
      <c r="G1044" s="4"/>
    </row>
    <row r="1045" spans="1:8" ht="15.75" x14ac:dyDescent="0.3">
      <c r="A1045" t="s">
        <v>1870</v>
      </c>
      <c r="B1045"/>
      <c r="C1045" s="3" t="s">
        <v>499</v>
      </c>
      <c r="D1045" s="4"/>
      <c r="E1045" s="4"/>
      <c r="F1045" s="4"/>
      <c r="G1045" s="4"/>
    </row>
    <row r="1046" spans="1:8" ht="15.75" x14ac:dyDescent="0.3">
      <c r="A1046" t="s">
        <v>1871</v>
      </c>
      <c r="B1046"/>
      <c r="C1046" s="3" t="s">
        <v>501</v>
      </c>
      <c r="D1046" s="4"/>
      <c r="E1046" s="4"/>
      <c r="F1046" s="4"/>
      <c r="G1046" s="4"/>
    </row>
    <row r="1047" spans="1:8" ht="15.75" x14ac:dyDescent="0.3">
      <c r="A1047" t="s">
        <v>1872</v>
      </c>
      <c r="B1047"/>
      <c r="C1047" s="3" t="s">
        <v>503</v>
      </c>
      <c r="D1047" s="4"/>
      <c r="E1047" s="4"/>
      <c r="F1047" s="4"/>
      <c r="G1047" s="4"/>
    </row>
    <row r="1048" spans="1:8" ht="15.75" x14ac:dyDescent="0.3">
      <c r="A1048" t="s">
        <v>1873</v>
      </c>
      <c r="B1048"/>
      <c r="C1048" s="3" t="s">
        <v>505</v>
      </c>
      <c r="D1048" s="4"/>
      <c r="E1048" s="4"/>
      <c r="F1048" s="4"/>
      <c r="G1048" s="4"/>
    </row>
    <row r="1049" spans="1:8" ht="15.75" x14ac:dyDescent="0.3">
      <c r="A1049" t="s">
        <v>1874</v>
      </c>
      <c r="B1049"/>
      <c r="C1049" s="3" t="s">
        <v>507</v>
      </c>
      <c r="D1049" s="4"/>
      <c r="E1049" s="4"/>
      <c r="F1049" s="4"/>
      <c r="G1049" s="4"/>
    </row>
    <row r="1050" spans="1:8" ht="15.75" x14ac:dyDescent="0.3">
      <c r="A1050" t="s">
        <v>1875</v>
      </c>
      <c r="B1050"/>
      <c r="C1050" s="3" t="s">
        <v>509</v>
      </c>
      <c r="D1050" s="4"/>
      <c r="E1050" s="4"/>
      <c r="F1050" s="4"/>
      <c r="G1050" s="4"/>
    </row>
    <row r="1051" spans="1:8" ht="15.75" x14ac:dyDescent="0.3">
      <c r="A1051" t="s">
        <v>1876</v>
      </c>
      <c r="B1051"/>
      <c r="C1051" s="3" t="s">
        <v>511</v>
      </c>
      <c r="D1051" s="4"/>
      <c r="E1051" s="6"/>
      <c r="F1051" s="6"/>
      <c r="G1051" s="6"/>
      <c r="H1051" s="7"/>
    </row>
    <row r="1052" spans="1:8" ht="15.75" x14ac:dyDescent="0.3">
      <c r="A1052" t="s">
        <v>1877</v>
      </c>
      <c r="B1052"/>
      <c r="C1052" s="3" t="s">
        <v>513</v>
      </c>
      <c r="D1052" s="4"/>
      <c r="E1052" s="8"/>
      <c r="F1052" s="4"/>
      <c r="G1052" s="8"/>
    </row>
    <row r="1053" spans="1:8" ht="15.75" x14ac:dyDescent="0.3">
      <c r="A1053" t="s">
        <v>1878</v>
      </c>
      <c r="B1053"/>
      <c r="C1053" s="3" t="s">
        <v>515</v>
      </c>
      <c r="D1053" s="4"/>
      <c r="E1053" s="9"/>
      <c r="F1053" s="4"/>
      <c r="G1053" s="9"/>
    </row>
    <row r="1054" spans="1:8" ht="15.75" x14ac:dyDescent="0.3">
      <c r="A1054" t="s">
        <v>1879</v>
      </c>
      <c r="B1054"/>
      <c r="C1054" s="3" t="s">
        <v>517</v>
      </c>
      <c r="D1054" s="4"/>
      <c r="E1054" s="9"/>
      <c r="F1054" s="4"/>
      <c r="G1054" s="9"/>
    </row>
    <row r="1055" spans="1:8" ht="15.75" x14ac:dyDescent="0.3">
      <c r="A1055" t="s">
        <v>1880</v>
      </c>
      <c r="B1055"/>
      <c r="C1055" s="3" t="s">
        <v>519</v>
      </c>
      <c r="D1055" s="4"/>
      <c r="E1055" s="9"/>
      <c r="F1055" s="4"/>
      <c r="G1055" s="9"/>
    </row>
    <row r="1056" spans="1:8" ht="15.75" x14ac:dyDescent="0.3">
      <c r="A1056" t="s">
        <v>1881</v>
      </c>
      <c r="B1056"/>
      <c r="C1056" s="3" t="s">
        <v>521</v>
      </c>
      <c r="D1056" s="4"/>
      <c r="E1056" s="9"/>
      <c r="F1056" s="4"/>
      <c r="G1056" s="9"/>
    </row>
    <row r="1057" spans="1:7" ht="15.75" x14ac:dyDescent="0.3">
      <c r="A1057" t="s">
        <v>1882</v>
      </c>
      <c r="B1057"/>
      <c r="C1057" s="3" t="s">
        <v>523</v>
      </c>
      <c r="D1057" s="4"/>
      <c r="E1057" s="4"/>
      <c r="F1057" s="4"/>
      <c r="G1057" s="9"/>
    </row>
    <row r="1058" spans="1:7" ht="15.75" x14ac:dyDescent="0.3">
      <c r="A1058" t="s">
        <v>1883</v>
      </c>
      <c r="B1058"/>
      <c r="C1058" s="3" t="s">
        <v>1884</v>
      </c>
      <c r="D1058" s="4"/>
      <c r="E1058" s="4"/>
      <c r="F1058" s="4"/>
      <c r="G1058" s="9"/>
    </row>
    <row r="1059" spans="1:7" ht="15.75" x14ac:dyDescent="0.3">
      <c r="A1059" t="s">
        <v>1885</v>
      </c>
      <c r="B1059"/>
      <c r="C1059" s="3" t="s">
        <v>1886</v>
      </c>
      <c r="D1059" s="4"/>
      <c r="E1059" s="4"/>
      <c r="F1059" s="4"/>
      <c r="G1059" s="9"/>
    </row>
    <row r="1060" spans="1:7" ht="15.75" x14ac:dyDescent="0.3">
      <c r="A1060" t="s">
        <v>1887</v>
      </c>
      <c r="B1060"/>
      <c r="C1060" s="3" t="s">
        <v>1888</v>
      </c>
      <c r="D1060" s="4"/>
      <c r="E1060" s="4"/>
      <c r="F1060" s="4"/>
      <c r="G1060" s="9"/>
    </row>
    <row r="1061" spans="1:7" ht="15.75" x14ac:dyDescent="0.3">
      <c r="A1061" t="s">
        <v>1889</v>
      </c>
      <c r="B1061"/>
      <c r="C1061" s="3" t="s">
        <v>1890</v>
      </c>
      <c r="D1061" s="4"/>
      <c r="E1061" s="4"/>
      <c r="F1061" s="4"/>
      <c r="G1061" s="9"/>
    </row>
    <row r="1062" spans="1:7" ht="15.75" x14ac:dyDescent="0.3">
      <c r="A1062" t="s">
        <v>1891</v>
      </c>
      <c r="B1062"/>
      <c r="C1062" s="3" t="s">
        <v>527</v>
      </c>
      <c r="D1062" s="4"/>
      <c r="E1062" s="4"/>
      <c r="F1062" s="4"/>
      <c r="G1062" s="4"/>
    </row>
    <row r="1063" spans="1:7" ht="15.75" x14ac:dyDescent="0.3">
      <c r="A1063" t="s">
        <v>1892</v>
      </c>
      <c r="B1063"/>
      <c r="C1063" s="3" t="s">
        <v>1893</v>
      </c>
      <c r="D1063" s="4"/>
      <c r="E1063" s="4"/>
      <c r="F1063" s="4"/>
      <c r="G1063" s="4"/>
    </row>
    <row r="1064" spans="1:7" ht="15.75" x14ac:dyDescent="0.3">
      <c r="A1064" t="s">
        <v>1894</v>
      </c>
      <c r="B1064"/>
      <c r="C1064" s="3" t="s">
        <v>1895</v>
      </c>
      <c r="D1064" s="4"/>
      <c r="E1064" s="4"/>
      <c r="F1064" s="4"/>
      <c r="G1064" s="4"/>
    </row>
    <row r="1065" spans="1:7" ht="15.75" x14ac:dyDescent="0.3">
      <c r="A1065" t="s">
        <v>1896</v>
      </c>
      <c r="B1065"/>
      <c r="C1065" s="3" t="s">
        <v>1897</v>
      </c>
      <c r="D1065" s="4"/>
      <c r="E1065" s="4"/>
      <c r="F1065" s="4"/>
      <c r="G1065" s="4"/>
    </row>
    <row r="1066" spans="1:7" ht="15.75" x14ac:dyDescent="0.3">
      <c r="A1066" t="s">
        <v>1898</v>
      </c>
      <c r="B1066"/>
      <c r="C1066" s="3" t="s">
        <v>1899</v>
      </c>
      <c r="D1066" s="4"/>
      <c r="E1066" s="4"/>
      <c r="F1066" s="4"/>
      <c r="G1066" s="4"/>
    </row>
    <row r="1067" spans="1:7" ht="15.75" x14ac:dyDescent="0.3">
      <c r="A1067" t="s">
        <v>1900</v>
      </c>
      <c r="B1067"/>
      <c r="C1067" s="3" t="s">
        <v>531</v>
      </c>
      <c r="D1067" s="4"/>
      <c r="E1067" s="4"/>
      <c r="F1067" s="4"/>
      <c r="G1067" s="4"/>
    </row>
    <row r="1068" spans="1:7" ht="15.75" x14ac:dyDescent="0.3">
      <c r="A1068" t="s">
        <v>1901</v>
      </c>
      <c r="B1068"/>
      <c r="C1068" s="3" t="s">
        <v>1902</v>
      </c>
      <c r="D1068" s="4"/>
      <c r="E1068" s="4"/>
      <c r="F1068" s="4"/>
      <c r="G1068" s="4"/>
    </row>
    <row r="1069" spans="1:7" ht="15.75" x14ac:dyDescent="0.3">
      <c r="A1069" t="s">
        <v>1903</v>
      </c>
      <c r="B1069"/>
      <c r="C1069" s="3" t="s">
        <v>1904</v>
      </c>
      <c r="D1069" s="4"/>
      <c r="E1069" s="4"/>
      <c r="F1069" s="4"/>
      <c r="G1069" s="4"/>
    </row>
    <row r="1070" spans="1:7" ht="15.75" x14ac:dyDescent="0.3">
      <c r="A1070" t="s">
        <v>1905</v>
      </c>
      <c r="B1070"/>
      <c r="C1070" s="3" t="s">
        <v>1906</v>
      </c>
      <c r="D1070" s="4"/>
      <c r="E1070" s="4"/>
      <c r="F1070" s="4"/>
      <c r="G1070" s="4"/>
    </row>
    <row r="1071" spans="1:7" ht="15.75" x14ac:dyDescent="0.3">
      <c r="A1071" t="s">
        <v>1907</v>
      </c>
      <c r="B1071"/>
      <c r="C1071" s="3" t="s">
        <v>1899</v>
      </c>
      <c r="D1071" s="4"/>
      <c r="E1071" s="4"/>
      <c r="F1071" s="4"/>
      <c r="G1071" s="4"/>
    </row>
    <row r="1072" spans="1:7" ht="15.75" x14ac:dyDescent="0.3">
      <c r="A1072" t="s">
        <v>1908</v>
      </c>
      <c r="B1072"/>
      <c r="C1072" s="3" t="s">
        <v>535</v>
      </c>
      <c r="D1072" s="4"/>
      <c r="E1072" s="4"/>
      <c r="F1072" s="4"/>
      <c r="G1072" s="4"/>
    </row>
    <row r="1073" spans="1:7" ht="15.75" x14ac:dyDescent="0.3">
      <c r="A1073" t="s">
        <v>1909</v>
      </c>
      <c r="B1073"/>
      <c r="C1073" s="3" t="s">
        <v>537</v>
      </c>
      <c r="D1073" s="4"/>
      <c r="E1073" s="4"/>
      <c r="F1073" s="4"/>
      <c r="G1073" s="4"/>
    </row>
    <row r="1074" spans="1:7" ht="15.75" x14ac:dyDescent="0.3">
      <c r="A1074" t="s">
        <v>1910</v>
      </c>
      <c r="B1074"/>
      <c r="C1074" s="3" t="s">
        <v>539</v>
      </c>
      <c r="D1074" s="4"/>
      <c r="E1074" s="4"/>
      <c r="F1074" s="4"/>
      <c r="G1074" s="4"/>
    </row>
    <row r="1075" spans="1:7" ht="15.75" x14ac:dyDescent="0.3">
      <c r="A1075" t="s">
        <v>1911</v>
      </c>
      <c r="B1075"/>
      <c r="C1075" s="3" t="s">
        <v>25</v>
      </c>
      <c r="D1075" s="4"/>
      <c r="E1075" s="4"/>
      <c r="F1075" s="4"/>
      <c r="G1075" s="4"/>
    </row>
    <row r="1076" spans="1:7" ht="15.75" x14ac:dyDescent="0.3">
      <c r="A1076" t="s">
        <v>1912</v>
      </c>
      <c r="B1076"/>
      <c r="C1076" s="3" t="s">
        <v>1913</v>
      </c>
      <c r="D1076" s="4"/>
      <c r="E1076" s="4"/>
      <c r="F1076" s="4"/>
      <c r="G1076" s="4"/>
    </row>
    <row r="1077" spans="1:7" ht="15.75" x14ac:dyDescent="0.3">
      <c r="A1077" t="s">
        <v>1914</v>
      </c>
      <c r="B1077"/>
      <c r="C1077" s="3" t="s">
        <v>1915</v>
      </c>
      <c r="D1077" s="4"/>
      <c r="E1077" s="4"/>
      <c r="F1077" s="4"/>
      <c r="G1077" s="4"/>
    </row>
    <row r="1078" spans="1:7" ht="15.75" x14ac:dyDescent="0.3">
      <c r="A1078" t="s">
        <v>1916</v>
      </c>
      <c r="B1078"/>
      <c r="C1078" s="3" t="s">
        <v>1917</v>
      </c>
      <c r="D1078" s="4"/>
      <c r="E1078" s="4"/>
      <c r="F1078" s="4"/>
      <c r="G1078" s="4"/>
    </row>
    <row r="1079" spans="1:7" ht="15.75" x14ac:dyDescent="0.3">
      <c r="A1079" t="s">
        <v>1918</v>
      </c>
      <c r="B1079"/>
      <c r="C1079" s="3" t="s">
        <v>1919</v>
      </c>
      <c r="D1079" s="4"/>
      <c r="E1079" s="4"/>
      <c r="F1079" s="4"/>
      <c r="G1079" s="4"/>
    </row>
    <row r="1080" spans="1:7" ht="15.75" x14ac:dyDescent="0.3">
      <c r="A1080" t="s">
        <v>1920</v>
      </c>
      <c r="B1080"/>
      <c r="C1080" s="3" t="s">
        <v>1921</v>
      </c>
      <c r="D1080" s="4"/>
      <c r="E1080" s="4"/>
      <c r="F1080" s="4"/>
      <c r="G1080" s="4"/>
    </row>
    <row r="1081" spans="1:7" ht="15.75" x14ac:dyDescent="0.3">
      <c r="A1081" t="s">
        <v>1922</v>
      </c>
      <c r="B1081"/>
      <c r="C1081" s="3" t="s">
        <v>1923</v>
      </c>
      <c r="D1081" s="4"/>
      <c r="E1081" s="4"/>
      <c r="F1081" s="4"/>
      <c r="G1081" s="4"/>
    </row>
    <row r="1082" spans="1:7" ht="15.75" x14ac:dyDescent="0.3">
      <c r="A1082" t="s">
        <v>1924</v>
      </c>
      <c r="B1082"/>
      <c r="C1082" s="3" t="s">
        <v>1925</v>
      </c>
      <c r="D1082" s="4"/>
      <c r="E1082" s="4"/>
      <c r="F1082" s="4"/>
      <c r="G1082" s="4"/>
    </row>
    <row r="1083" spans="1:7" ht="15.75" x14ac:dyDescent="0.3">
      <c r="A1083" t="s">
        <v>1926</v>
      </c>
      <c r="B1083"/>
      <c r="C1083" s="3" t="s">
        <v>1927</v>
      </c>
      <c r="D1083" s="4"/>
      <c r="E1083" s="4"/>
      <c r="F1083" s="4"/>
      <c r="G1083" s="4"/>
    </row>
    <row r="1084" spans="1:7" ht="15.75" x14ac:dyDescent="0.3">
      <c r="A1084" t="s">
        <v>1928</v>
      </c>
      <c r="B1084"/>
      <c r="C1084" s="3" t="s">
        <v>1929</v>
      </c>
      <c r="D1084" s="4"/>
      <c r="E1084" s="4"/>
      <c r="F1084" s="4"/>
      <c r="G1084" s="4"/>
    </row>
    <row r="1085" spans="1:7" ht="15.75" x14ac:dyDescent="0.3">
      <c r="A1085" t="s">
        <v>1930</v>
      </c>
      <c r="B1085"/>
      <c r="C1085" s="3" t="s">
        <v>1931</v>
      </c>
      <c r="D1085" s="4"/>
      <c r="E1085" s="4"/>
      <c r="F1085" s="4"/>
      <c r="G1085" s="4"/>
    </row>
    <row r="1086" spans="1:7" ht="15.75" x14ac:dyDescent="0.3">
      <c r="A1086" t="s">
        <v>1932</v>
      </c>
      <c r="B1086"/>
      <c r="C1086" s="3" t="s">
        <v>1933</v>
      </c>
      <c r="D1086" s="4"/>
      <c r="E1086" s="4"/>
      <c r="F1086" s="4"/>
      <c r="G1086" s="4"/>
    </row>
    <row r="1087" spans="1:7" ht="15.75" x14ac:dyDescent="0.3">
      <c r="A1087" t="s">
        <v>1934</v>
      </c>
      <c r="B1087"/>
      <c r="C1087" s="3" t="s">
        <v>1935</v>
      </c>
      <c r="D1087" s="4"/>
      <c r="E1087" s="4"/>
      <c r="F1087" s="4"/>
      <c r="G1087" s="4"/>
    </row>
    <row r="1088" spans="1:7" ht="15.75" x14ac:dyDescent="0.3">
      <c r="A1088" t="s">
        <v>1936</v>
      </c>
      <c r="B1088"/>
      <c r="C1088" s="3" t="s">
        <v>1937</v>
      </c>
      <c r="D1088" s="4"/>
      <c r="E1088" s="4"/>
      <c r="F1088" s="4"/>
      <c r="G1088" s="4"/>
    </row>
    <row r="1089" spans="1:7" ht="15.75" x14ac:dyDescent="0.3">
      <c r="A1089" t="s">
        <v>1938</v>
      </c>
      <c r="B1089"/>
      <c r="C1089" s="3" t="s">
        <v>1939</v>
      </c>
      <c r="D1089" s="4"/>
      <c r="E1089" s="4"/>
      <c r="F1089" s="4"/>
      <c r="G1089" s="4"/>
    </row>
    <row r="1090" spans="1:7" ht="15.75" x14ac:dyDescent="0.3">
      <c r="A1090" t="s">
        <v>1940</v>
      </c>
      <c r="B1090"/>
      <c r="C1090" s="3" t="s">
        <v>1941</v>
      </c>
      <c r="D1090" s="4"/>
      <c r="E1090" s="4"/>
      <c r="F1090" s="4"/>
      <c r="G1090" s="4"/>
    </row>
    <row r="1091" spans="1:7" ht="15.75" x14ac:dyDescent="0.3">
      <c r="A1091" t="s">
        <v>1942</v>
      </c>
      <c r="B1091"/>
      <c r="C1091" s="3" t="s">
        <v>1943</v>
      </c>
      <c r="D1091" s="4"/>
      <c r="E1091" s="4"/>
      <c r="F1091" s="4"/>
      <c r="G1091" s="4"/>
    </row>
    <row r="1092" spans="1:7" ht="15.75" x14ac:dyDescent="0.3">
      <c r="A1092" t="s">
        <v>1944</v>
      </c>
      <c r="B1092"/>
      <c r="C1092" s="3" t="s">
        <v>1945</v>
      </c>
      <c r="D1092" s="4"/>
      <c r="E1092" s="4"/>
      <c r="F1092" s="4"/>
      <c r="G1092" s="4"/>
    </row>
    <row r="1093" spans="1:7" ht="15.75" x14ac:dyDescent="0.3">
      <c r="A1093" t="s">
        <v>1946</v>
      </c>
      <c r="B1093"/>
      <c r="C1093" s="3" t="s">
        <v>1947</v>
      </c>
      <c r="D1093" s="4"/>
      <c r="E1093" s="4"/>
      <c r="F1093" s="4"/>
      <c r="G1093" s="4"/>
    </row>
    <row r="1094" spans="1:7" ht="15.75" x14ac:dyDescent="0.3">
      <c r="A1094" t="s">
        <v>1948</v>
      </c>
      <c r="B1094"/>
      <c r="C1094" s="3" t="s">
        <v>1949</v>
      </c>
      <c r="D1094" s="4"/>
      <c r="E1094" s="4"/>
      <c r="F1094" s="4"/>
      <c r="G1094" s="4"/>
    </row>
    <row r="1095" spans="1:7" ht="15.75" x14ac:dyDescent="0.3">
      <c r="A1095" t="s">
        <v>1950</v>
      </c>
      <c r="B1095"/>
      <c r="C1095" s="3" t="s">
        <v>1951</v>
      </c>
      <c r="D1095" s="4"/>
      <c r="E1095" s="4"/>
      <c r="F1095" s="4"/>
      <c r="G1095" s="4"/>
    </row>
    <row r="1096" spans="1:7" ht="15.75" x14ac:dyDescent="0.3">
      <c r="A1096" t="s">
        <v>1952</v>
      </c>
      <c r="B1096"/>
      <c r="C1096" s="3" t="s">
        <v>1953</v>
      </c>
      <c r="D1096" s="4"/>
      <c r="E1096" s="4"/>
      <c r="F1096" s="4"/>
      <c r="G1096" s="4"/>
    </row>
    <row r="1097" spans="1:7" ht="15.75" x14ac:dyDescent="0.3">
      <c r="A1097" t="s">
        <v>1954</v>
      </c>
      <c r="B1097"/>
      <c r="C1097" s="3" t="s">
        <v>1955</v>
      </c>
      <c r="D1097" s="4"/>
      <c r="E1097" s="4"/>
      <c r="F1097" s="4"/>
      <c r="G1097" s="4"/>
    </row>
    <row r="1098" spans="1:7" ht="15.75" x14ac:dyDescent="0.3">
      <c r="A1098" t="s">
        <v>1956</v>
      </c>
      <c r="B1098"/>
      <c r="C1098" s="3" t="s">
        <v>1957</v>
      </c>
      <c r="D1098" s="4"/>
      <c r="E1098" s="4"/>
      <c r="F1098" s="4"/>
      <c r="G1098" s="4"/>
    </row>
    <row r="1099" spans="1:7" ht="15.75" x14ac:dyDescent="0.3">
      <c r="A1099" t="s">
        <v>1958</v>
      </c>
      <c r="B1099"/>
      <c r="C1099" s="3" t="s">
        <v>1959</v>
      </c>
      <c r="D1099" s="4"/>
      <c r="E1099" s="4"/>
      <c r="F1099" s="4"/>
      <c r="G1099" s="4"/>
    </row>
    <row r="1100" spans="1:7" ht="15.75" x14ac:dyDescent="0.3">
      <c r="A1100" t="s">
        <v>1960</v>
      </c>
      <c r="B1100"/>
      <c r="C1100" s="3" t="s">
        <v>1961</v>
      </c>
      <c r="D1100" s="4"/>
      <c r="E1100" s="4"/>
      <c r="F1100" s="4"/>
      <c r="G1100" s="4"/>
    </row>
    <row r="1101" spans="1:7" ht="15.75" x14ac:dyDescent="0.3">
      <c r="A1101" t="s">
        <v>1962</v>
      </c>
      <c r="B1101"/>
      <c r="C1101" s="3" t="s">
        <v>1963</v>
      </c>
    </row>
    <row r="1102" spans="1:7" ht="15.75" x14ac:dyDescent="0.3">
      <c r="A1102" t="s">
        <v>1964</v>
      </c>
      <c r="B1102"/>
      <c r="C1102" s="3" t="s">
        <v>1965</v>
      </c>
    </row>
    <row r="1103" spans="1:7" ht="15.75" x14ac:dyDescent="0.3">
      <c r="A1103" t="s">
        <v>1966</v>
      </c>
      <c r="B1103"/>
      <c r="C1103" s="3" t="s">
        <v>1967</v>
      </c>
    </row>
    <row r="1104" spans="1:7" ht="15.75" x14ac:dyDescent="0.3">
      <c r="A1104" t="s">
        <v>1968</v>
      </c>
      <c r="B1104"/>
      <c r="C1104" s="3" t="s">
        <v>550</v>
      </c>
    </row>
    <row r="1105" spans="1:3" ht="15.75" x14ac:dyDescent="0.3">
      <c r="A1105" t="s">
        <v>1969</v>
      </c>
      <c r="B1105"/>
      <c r="C1105" s="3" t="s">
        <v>1970</v>
      </c>
    </row>
    <row r="1106" spans="1:3" ht="15.75" x14ac:dyDescent="0.3">
      <c r="A1106" t="s">
        <v>1971</v>
      </c>
      <c r="B1106"/>
      <c r="C1106" s="3" t="s">
        <v>1972</v>
      </c>
    </row>
    <row r="1107" spans="1:3" ht="15.75" x14ac:dyDescent="0.3">
      <c r="A1107" t="s">
        <v>1973</v>
      </c>
      <c r="B1107"/>
      <c r="C1107" s="3" t="s">
        <v>26</v>
      </c>
    </row>
    <row r="1108" spans="1:3" ht="15.75" x14ac:dyDescent="0.3">
      <c r="A1108" t="s">
        <v>1974</v>
      </c>
      <c r="B1108"/>
      <c r="C1108" s="3" t="s">
        <v>1975</v>
      </c>
    </row>
    <row r="1109" spans="1:3" ht="15.75" x14ac:dyDescent="0.3">
      <c r="A1109" t="s">
        <v>1976</v>
      </c>
      <c r="B1109"/>
      <c r="C1109" s="3" t="s">
        <v>1977</v>
      </c>
    </row>
    <row r="1110" spans="1:3" ht="15.75" x14ac:dyDescent="0.3">
      <c r="A1110" t="s">
        <v>1978</v>
      </c>
      <c r="B1110"/>
      <c r="C1110" s="3" t="s">
        <v>1979</v>
      </c>
    </row>
    <row r="1111" spans="1:3" ht="15.75" x14ac:dyDescent="0.3">
      <c r="A1111" t="s">
        <v>1980</v>
      </c>
      <c r="B1111"/>
      <c r="C1111" s="3" t="s">
        <v>556</v>
      </c>
    </row>
    <row r="1112" spans="1:3" ht="15.75" x14ac:dyDescent="0.3">
      <c r="A1112" t="s">
        <v>1981</v>
      </c>
      <c r="B1112"/>
      <c r="C1112" s="3" t="s">
        <v>558</v>
      </c>
    </row>
    <row r="1113" spans="1:3" ht="15.75" x14ac:dyDescent="0.3">
      <c r="A1113" t="s">
        <v>1982</v>
      </c>
      <c r="B1113"/>
      <c r="C1113" s="3" t="s">
        <v>560</v>
      </c>
    </row>
    <row r="1114" spans="1:3" ht="15.75" x14ac:dyDescent="0.3">
      <c r="A1114" t="s">
        <v>1983</v>
      </c>
      <c r="B1114"/>
      <c r="C1114" s="3" t="s">
        <v>562</v>
      </c>
    </row>
    <row r="1115" spans="1:3" ht="15.75" x14ac:dyDescent="0.3">
      <c r="A1115" t="s">
        <v>1984</v>
      </c>
      <c r="B1115"/>
      <c r="C1115" s="3" t="s">
        <v>564</v>
      </c>
    </row>
    <row r="1116" spans="1:3" ht="15.75" x14ac:dyDescent="0.3">
      <c r="A1116" t="s">
        <v>1985</v>
      </c>
      <c r="B1116"/>
      <c r="C1116" s="3" t="s">
        <v>566</v>
      </c>
    </row>
    <row r="1117" spans="1:3" ht="15.75" x14ac:dyDescent="0.3">
      <c r="A1117" t="s">
        <v>1986</v>
      </c>
      <c r="B1117"/>
      <c r="C1117" s="3" t="s">
        <v>568</v>
      </c>
    </row>
    <row r="1118" spans="1:3" ht="15.75" x14ac:dyDescent="0.3">
      <c r="A1118" t="s">
        <v>1987</v>
      </c>
      <c r="B1118"/>
      <c r="C1118" s="3" t="s">
        <v>570</v>
      </c>
    </row>
    <row r="1119" spans="1:3" ht="15.75" x14ac:dyDescent="0.3">
      <c r="A1119" t="s">
        <v>1988</v>
      </c>
      <c r="B1119"/>
      <c r="C1119" s="3" t="s">
        <v>572</v>
      </c>
    </row>
    <row r="1120" spans="1:3" ht="15.75" x14ac:dyDescent="0.3">
      <c r="A1120" t="s">
        <v>1989</v>
      </c>
      <c r="B1120"/>
      <c r="C1120" s="3" t="s">
        <v>574</v>
      </c>
    </row>
    <row r="1121" spans="1:3" ht="15.75" x14ac:dyDescent="0.3">
      <c r="A1121" t="s">
        <v>1990</v>
      </c>
      <c r="B1121"/>
      <c r="C1121" s="3" t="s">
        <v>576</v>
      </c>
    </row>
    <row r="1122" spans="1:3" ht="15.75" x14ac:dyDescent="0.3">
      <c r="A1122" t="s">
        <v>1991</v>
      </c>
      <c r="B1122"/>
      <c r="C1122" s="3" t="s">
        <v>578</v>
      </c>
    </row>
    <row r="1123" spans="1:3" ht="15.75" x14ac:dyDescent="0.3">
      <c r="A1123" t="s">
        <v>1992</v>
      </c>
      <c r="B1123"/>
      <c r="C1123" s="3" t="s">
        <v>580</v>
      </c>
    </row>
    <row r="1124" spans="1:3" ht="15.75" x14ac:dyDescent="0.3">
      <c r="A1124" t="s">
        <v>1993</v>
      </c>
      <c r="B1124"/>
      <c r="C1124" s="3" t="s">
        <v>582</v>
      </c>
    </row>
    <row r="1125" spans="1:3" ht="15.75" x14ac:dyDescent="0.3">
      <c r="A1125" t="s">
        <v>1994</v>
      </c>
      <c r="B1125"/>
      <c r="C1125" s="3" t="s">
        <v>584</v>
      </c>
    </row>
    <row r="1126" spans="1:3" ht="15.75" x14ac:dyDescent="0.3">
      <c r="A1126" t="s">
        <v>1995</v>
      </c>
      <c r="B1126"/>
      <c r="C1126" s="3" t="s">
        <v>586</v>
      </c>
    </row>
    <row r="1127" spans="1:3" ht="15.75" x14ac:dyDescent="0.3">
      <c r="A1127" t="s">
        <v>1996</v>
      </c>
      <c r="B1127"/>
      <c r="C1127" s="3" t="s">
        <v>588</v>
      </c>
    </row>
    <row r="1128" spans="1:3" ht="15.75" x14ac:dyDescent="0.3">
      <c r="A1128" t="s">
        <v>1997</v>
      </c>
      <c r="B1128"/>
      <c r="C1128" s="3" t="s">
        <v>590</v>
      </c>
    </row>
    <row r="1129" spans="1:3" ht="15.75" x14ac:dyDescent="0.3">
      <c r="A1129" t="s">
        <v>1998</v>
      </c>
      <c r="B1129"/>
      <c r="C1129" s="3" t="s">
        <v>1999</v>
      </c>
    </row>
    <row r="1130" spans="1:3" ht="15.75" x14ac:dyDescent="0.3">
      <c r="A1130" t="s">
        <v>2000</v>
      </c>
      <c r="B1130"/>
      <c r="C1130" s="3" t="s">
        <v>594</v>
      </c>
    </row>
    <row r="1131" spans="1:3" ht="15.75" x14ac:dyDescent="0.3">
      <c r="A1131" t="s">
        <v>2001</v>
      </c>
      <c r="B1131"/>
      <c r="C1131" s="3" t="s">
        <v>28</v>
      </c>
    </row>
    <row r="1132" spans="1:3" ht="15.75" x14ac:dyDescent="0.3">
      <c r="A1132" t="s">
        <v>2002</v>
      </c>
      <c r="B1132"/>
      <c r="C1132" s="3" t="s">
        <v>597</v>
      </c>
    </row>
    <row r="1133" spans="1:3" ht="15.75" x14ac:dyDescent="0.3">
      <c r="A1133" t="s">
        <v>2003</v>
      </c>
      <c r="B1133"/>
      <c r="C1133" s="3" t="s">
        <v>599</v>
      </c>
    </row>
    <row r="1134" spans="1:3" ht="15.75" x14ac:dyDescent="0.3">
      <c r="A1134" t="s">
        <v>2004</v>
      </c>
      <c r="B1134"/>
      <c r="C1134" s="3" t="s">
        <v>601</v>
      </c>
    </row>
    <row r="1135" spans="1:3" ht="15.75" x14ac:dyDescent="0.3">
      <c r="A1135" t="s">
        <v>2005</v>
      </c>
      <c r="B1135"/>
      <c r="C1135" s="3" t="s">
        <v>603</v>
      </c>
    </row>
    <row r="1136" spans="1:3" ht="15.75" x14ac:dyDescent="0.3">
      <c r="A1136" t="s">
        <v>2006</v>
      </c>
      <c r="B1136"/>
      <c r="C1136" s="3" t="s">
        <v>605</v>
      </c>
    </row>
    <row r="1137" spans="1:3" ht="15.75" x14ac:dyDescent="0.3">
      <c r="A1137" t="s">
        <v>2007</v>
      </c>
      <c r="B1137"/>
      <c r="C1137" s="3" t="s">
        <v>607</v>
      </c>
    </row>
    <row r="1138" spans="1:3" ht="15.75" x14ac:dyDescent="0.3">
      <c r="A1138" t="s">
        <v>2008</v>
      </c>
      <c r="B1138"/>
      <c r="C1138" s="3" t="s">
        <v>609</v>
      </c>
    </row>
    <row r="1139" spans="1:3" ht="15.75" x14ac:dyDescent="0.3">
      <c r="A1139" t="s">
        <v>2009</v>
      </c>
      <c r="B1139"/>
      <c r="C1139" s="3" t="s">
        <v>611</v>
      </c>
    </row>
    <row r="1140" spans="1:3" ht="15.75" x14ac:dyDescent="0.3">
      <c r="A1140" t="s">
        <v>2010</v>
      </c>
      <c r="B1140"/>
      <c r="C1140" s="3" t="s">
        <v>613</v>
      </c>
    </row>
    <row r="1141" spans="1:3" ht="15.75" x14ac:dyDescent="0.3">
      <c r="A1141" t="s">
        <v>2011</v>
      </c>
      <c r="B1141"/>
      <c r="C1141" s="3" t="s">
        <v>615</v>
      </c>
    </row>
    <row r="1142" spans="1:3" ht="15.75" x14ac:dyDescent="0.3">
      <c r="A1142" t="s">
        <v>2012</v>
      </c>
      <c r="B1142"/>
      <c r="C1142" s="3" t="s">
        <v>617</v>
      </c>
    </row>
    <row r="1143" spans="1:3" ht="15.75" x14ac:dyDescent="0.3">
      <c r="A1143" t="s">
        <v>2013</v>
      </c>
      <c r="B1143"/>
      <c r="C1143" s="3" t="s">
        <v>619</v>
      </c>
    </row>
    <row r="1144" spans="1:3" ht="15.75" x14ac:dyDescent="0.3">
      <c r="A1144" t="s">
        <v>2014</v>
      </c>
      <c r="B1144"/>
      <c r="C1144" s="3" t="s">
        <v>621</v>
      </c>
    </row>
    <row r="1145" spans="1:3" ht="15.75" x14ac:dyDescent="0.3">
      <c r="A1145" t="s">
        <v>2015</v>
      </c>
      <c r="B1145"/>
      <c r="C1145" s="3" t="s">
        <v>29</v>
      </c>
    </row>
    <row r="1146" spans="1:3" ht="15.75" x14ac:dyDescent="0.3">
      <c r="A1146" t="s">
        <v>2016</v>
      </c>
      <c r="B1146"/>
      <c r="C1146" s="3" t="s">
        <v>624</v>
      </c>
    </row>
    <row r="1147" spans="1:3" ht="15.75" x14ac:dyDescent="0.3">
      <c r="A1147" t="s">
        <v>2017</v>
      </c>
      <c r="B1147"/>
      <c r="C1147" s="3" t="s">
        <v>626</v>
      </c>
    </row>
    <row r="1148" spans="1:3" ht="15.75" x14ac:dyDescent="0.3">
      <c r="A1148" t="s">
        <v>2018</v>
      </c>
      <c r="B1148"/>
      <c r="C1148" s="3" t="s">
        <v>628</v>
      </c>
    </row>
    <row r="1149" spans="1:3" ht="15.75" x14ac:dyDescent="0.3">
      <c r="A1149" t="s">
        <v>2019</v>
      </c>
      <c r="B1149"/>
      <c r="C1149" s="3" t="s">
        <v>630</v>
      </c>
    </row>
    <row r="1150" spans="1:3" ht="15.75" x14ac:dyDescent="0.3">
      <c r="A1150" t="s">
        <v>2020</v>
      </c>
      <c r="B1150"/>
      <c r="C1150" s="3" t="s">
        <v>632</v>
      </c>
    </row>
    <row r="1151" spans="1:3" ht="15.75" x14ac:dyDescent="0.3">
      <c r="A1151" t="s">
        <v>2021</v>
      </c>
      <c r="B1151"/>
      <c r="C1151" s="3" t="s">
        <v>634</v>
      </c>
    </row>
    <row r="1152" spans="1:3" ht="15.75" x14ac:dyDescent="0.3">
      <c r="A1152" t="s">
        <v>2022</v>
      </c>
      <c r="B1152"/>
      <c r="C1152" s="3" t="s">
        <v>636</v>
      </c>
    </row>
    <row r="1153" spans="1:3" ht="15.75" x14ac:dyDescent="0.3">
      <c r="A1153" t="s">
        <v>2023</v>
      </c>
      <c r="B1153"/>
      <c r="C1153" s="3" t="s">
        <v>638</v>
      </c>
    </row>
    <row r="1154" spans="1:3" ht="15.75" x14ac:dyDescent="0.3">
      <c r="A1154" t="s">
        <v>2024</v>
      </c>
      <c r="B1154"/>
      <c r="C1154" s="3" t="s">
        <v>640</v>
      </c>
    </row>
    <row r="1155" spans="1:3" ht="15.75" x14ac:dyDescent="0.3">
      <c r="A1155" t="s">
        <v>2025</v>
      </c>
      <c r="B1155"/>
      <c r="C1155" s="3" t="s">
        <v>30</v>
      </c>
    </row>
    <row r="1156" spans="1:3" ht="15.75" x14ac:dyDescent="0.3">
      <c r="A1156" t="s">
        <v>2026</v>
      </c>
      <c r="B1156"/>
      <c r="C1156" s="3" t="s">
        <v>643</v>
      </c>
    </row>
    <row r="1157" spans="1:3" ht="15.75" x14ac:dyDescent="0.3">
      <c r="A1157" t="s">
        <v>2027</v>
      </c>
      <c r="B1157"/>
      <c r="C1157" s="3" t="s">
        <v>645</v>
      </c>
    </row>
    <row r="1158" spans="1:3" ht="15.75" x14ac:dyDescent="0.3">
      <c r="A1158" t="s">
        <v>2028</v>
      </c>
      <c r="B1158"/>
      <c r="C1158" s="3" t="s">
        <v>647</v>
      </c>
    </row>
    <row r="1159" spans="1:3" ht="15.75" x14ac:dyDescent="0.3">
      <c r="A1159" t="s">
        <v>2029</v>
      </c>
      <c r="B1159"/>
      <c r="C1159" s="3" t="s">
        <v>649</v>
      </c>
    </row>
    <row r="1160" spans="1:3" ht="15.75" x14ac:dyDescent="0.3">
      <c r="A1160" t="s">
        <v>2030</v>
      </c>
      <c r="B1160"/>
      <c r="C1160" s="3" t="s">
        <v>651</v>
      </c>
    </row>
    <row r="1161" spans="1:3" ht="15.75" x14ac:dyDescent="0.3">
      <c r="A1161" t="s">
        <v>2031</v>
      </c>
      <c r="B1161"/>
      <c r="C1161" s="3" t="s">
        <v>31</v>
      </c>
    </row>
    <row r="1162" spans="1:3" ht="15.75" x14ac:dyDescent="0.3">
      <c r="A1162" t="s">
        <v>2032</v>
      </c>
      <c r="B1162"/>
      <c r="C1162" s="3" t="s">
        <v>2033</v>
      </c>
    </row>
    <row r="1163" spans="1:3" ht="15.75" customHeight="1" x14ac:dyDescent="0.3">
      <c r="A1163" t="s">
        <v>2034</v>
      </c>
      <c r="B1163"/>
      <c r="C1163" s="3" t="s">
        <v>2035</v>
      </c>
    </row>
    <row r="1164" spans="1:3" ht="15.75" x14ac:dyDescent="0.3">
      <c r="A1164" t="s">
        <v>2036</v>
      </c>
      <c r="B1164"/>
      <c r="C1164" s="3" t="s">
        <v>2037</v>
      </c>
    </row>
    <row r="1165" spans="1:3" ht="15.75" x14ac:dyDescent="0.3">
      <c r="A1165" t="s">
        <v>2038</v>
      </c>
      <c r="B1165"/>
      <c r="C1165" s="3" t="s">
        <v>2039</v>
      </c>
    </row>
    <row r="1166" spans="1:3" ht="15.75" x14ac:dyDescent="0.3">
      <c r="A1166" t="s">
        <v>2040</v>
      </c>
      <c r="B1166"/>
      <c r="C1166" s="3" t="s">
        <v>2041</v>
      </c>
    </row>
    <row r="1167" spans="1:3" ht="15.75" x14ac:dyDescent="0.3">
      <c r="A1167" t="s">
        <v>2042</v>
      </c>
      <c r="B1167"/>
      <c r="C1167" s="3" t="s">
        <v>2043</v>
      </c>
    </row>
    <row r="1168" spans="1:3" ht="15.75" x14ac:dyDescent="0.3">
      <c r="A1168" t="s">
        <v>2044</v>
      </c>
      <c r="B1168"/>
      <c r="C1168" s="3" t="s">
        <v>2045</v>
      </c>
    </row>
    <row r="1169" spans="1:3" ht="15.75" x14ac:dyDescent="0.3">
      <c r="A1169" t="s">
        <v>2046</v>
      </c>
      <c r="B1169"/>
      <c r="C1169" s="3" t="s">
        <v>2047</v>
      </c>
    </row>
    <row r="1170" spans="1:3" ht="15.75" x14ac:dyDescent="0.3">
      <c r="A1170" t="s">
        <v>2048</v>
      </c>
      <c r="B1170"/>
      <c r="C1170" s="3" t="s">
        <v>2049</v>
      </c>
    </row>
    <row r="1171" spans="1:3" ht="15.75" x14ac:dyDescent="0.3">
      <c r="A1171" t="s">
        <v>2050</v>
      </c>
      <c r="B1171"/>
      <c r="C1171" s="3" t="s">
        <v>2051</v>
      </c>
    </row>
    <row r="1172" spans="1:3" ht="15.75" x14ac:dyDescent="0.3">
      <c r="A1172" t="s">
        <v>2052</v>
      </c>
      <c r="B1172"/>
      <c r="C1172" s="3" t="s">
        <v>2053</v>
      </c>
    </row>
    <row r="1173" spans="1:3" ht="15.75" x14ac:dyDescent="0.3">
      <c r="A1173" t="s">
        <v>2054</v>
      </c>
      <c r="B1173"/>
      <c r="C1173" s="3" t="s">
        <v>2055</v>
      </c>
    </row>
    <row r="1174" spans="1:3" ht="15.75" x14ac:dyDescent="0.3">
      <c r="A1174" t="s">
        <v>2056</v>
      </c>
      <c r="B1174"/>
      <c r="C1174" s="3" t="s">
        <v>2057</v>
      </c>
    </row>
    <row r="1175" spans="1:3" ht="15.75" x14ac:dyDescent="0.3">
      <c r="A1175" t="s">
        <v>2058</v>
      </c>
      <c r="B1175"/>
      <c r="C1175" s="3" t="s">
        <v>2059</v>
      </c>
    </row>
    <row r="1176" spans="1:3" ht="15.75" x14ac:dyDescent="0.3">
      <c r="A1176" t="s">
        <v>2060</v>
      </c>
      <c r="B1176"/>
      <c r="C1176" s="3" t="s">
        <v>2061</v>
      </c>
    </row>
    <row r="1177" spans="1:3" ht="15.75" x14ac:dyDescent="0.3">
      <c r="A1177" t="s">
        <v>2062</v>
      </c>
      <c r="B1177"/>
      <c r="C1177" s="3" t="s">
        <v>2063</v>
      </c>
    </row>
    <row r="1178" spans="1:3" ht="15.75" x14ac:dyDescent="0.3">
      <c r="A1178" t="s">
        <v>2064</v>
      </c>
      <c r="B1178"/>
      <c r="C1178" s="3" t="s">
        <v>2065</v>
      </c>
    </row>
    <row r="1179" spans="1:3" ht="15.75" x14ac:dyDescent="0.3">
      <c r="A1179" t="s">
        <v>2066</v>
      </c>
      <c r="B1179"/>
      <c r="C1179" s="3" t="s">
        <v>2067</v>
      </c>
    </row>
    <row r="1180" spans="1:3" ht="15.75" x14ac:dyDescent="0.3">
      <c r="A1180" t="s">
        <v>2068</v>
      </c>
      <c r="B1180"/>
      <c r="C1180" s="3" t="s">
        <v>2069</v>
      </c>
    </row>
    <row r="1181" spans="1:3" ht="15.75" x14ac:dyDescent="0.3">
      <c r="A1181" t="s">
        <v>2070</v>
      </c>
      <c r="B1181"/>
      <c r="C1181" s="3" t="s">
        <v>2071</v>
      </c>
    </row>
    <row r="1182" spans="1:3" ht="15.75" x14ac:dyDescent="0.3">
      <c r="A1182" t="s">
        <v>2072</v>
      </c>
      <c r="B1182"/>
      <c r="C1182" s="3" t="s">
        <v>2073</v>
      </c>
    </row>
    <row r="1183" spans="1:3" ht="15.75" x14ac:dyDescent="0.3">
      <c r="A1183" t="s">
        <v>2074</v>
      </c>
      <c r="B1183"/>
      <c r="C1183" s="3" t="s">
        <v>2075</v>
      </c>
    </row>
    <row r="1184" spans="1:3" ht="15.75" x14ac:dyDescent="0.3">
      <c r="A1184" t="s">
        <v>2076</v>
      </c>
      <c r="B1184"/>
      <c r="C1184" s="3" t="s">
        <v>2077</v>
      </c>
    </row>
    <row r="1185" spans="1:3" ht="15.75" x14ac:dyDescent="0.3">
      <c r="A1185" t="s">
        <v>2078</v>
      </c>
      <c r="B1185"/>
      <c r="C1185" s="3" t="s">
        <v>2079</v>
      </c>
    </row>
    <row r="1186" spans="1:3" ht="15.75" x14ac:dyDescent="0.3">
      <c r="A1186" t="s">
        <v>2080</v>
      </c>
      <c r="B1186"/>
      <c r="C1186" s="3" t="s">
        <v>2081</v>
      </c>
    </row>
    <row r="1187" spans="1:3" ht="15.75" x14ac:dyDescent="0.3">
      <c r="A1187" t="s">
        <v>2082</v>
      </c>
      <c r="B1187"/>
      <c r="C1187" s="3" t="s">
        <v>2083</v>
      </c>
    </row>
    <row r="1188" spans="1:3" ht="15.75" x14ac:dyDescent="0.3">
      <c r="A1188" t="s">
        <v>2084</v>
      </c>
      <c r="B1188"/>
      <c r="C1188" s="3" t="s">
        <v>2085</v>
      </c>
    </row>
    <row r="1189" spans="1:3" ht="15.75" x14ac:dyDescent="0.3">
      <c r="A1189" t="s">
        <v>2086</v>
      </c>
      <c r="B1189"/>
      <c r="C1189" s="3" t="s">
        <v>2087</v>
      </c>
    </row>
    <row r="1190" spans="1:3" ht="15.75" x14ac:dyDescent="0.3">
      <c r="A1190" t="s">
        <v>2088</v>
      </c>
      <c r="B1190"/>
      <c r="C1190" s="3" t="s">
        <v>2089</v>
      </c>
    </row>
    <row r="1191" spans="1:3" ht="15.75" x14ac:dyDescent="0.3">
      <c r="A1191" t="s">
        <v>2090</v>
      </c>
      <c r="B1191"/>
      <c r="C1191" s="3" t="s">
        <v>2091</v>
      </c>
    </row>
    <row r="1192" spans="1:3" ht="15.75" x14ac:dyDescent="0.3">
      <c r="A1192" t="s">
        <v>2092</v>
      </c>
      <c r="B1192"/>
      <c r="C1192" s="3" t="s">
        <v>2093</v>
      </c>
    </row>
    <row r="1193" spans="1:3" ht="15.75" x14ac:dyDescent="0.3">
      <c r="A1193" t="s">
        <v>2094</v>
      </c>
      <c r="B1193"/>
      <c r="C1193" s="3" t="s">
        <v>2095</v>
      </c>
    </row>
    <row r="1194" spans="1:3" ht="15.75" x14ac:dyDescent="0.3">
      <c r="A1194" t="s">
        <v>2096</v>
      </c>
      <c r="B1194"/>
      <c r="C1194" s="3" t="s">
        <v>2097</v>
      </c>
    </row>
    <row r="1195" spans="1:3" ht="15.75" x14ac:dyDescent="0.3">
      <c r="A1195" t="s">
        <v>2098</v>
      </c>
      <c r="B1195"/>
      <c r="C1195" s="3" t="s">
        <v>2099</v>
      </c>
    </row>
    <row r="1196" spans="1:3" ht="15.75" x14ac:dyDescent="0.3">
      <c r="A1196" t="s">
        <v>2100</v>
      </c>
      <c r="B1196"/>
      <c r="C1196" s="3" t="s">
        <v>2101</v>
      </c>
    </row>
    <row r="1197" spans="1:3" ht="15.75" x14ac:dyDescent="0.3">
      <c r="A1197" t="s">
        <v>2102</v>
      </c>
      <c r="B1197"/>
      <c r="C1197" s="3" t="s">
        <v>2103</v>
      </c>
    </row>
    <row r="1198" spans="1:3" ht="15.75" x14ac:dyDescent="0.3">
      <c r="A1198" t="s">
        <v>2104</v>
      </c>
      <c r="B1198"/>
      <c r="C1198" s="3" t="s">
        <v>2105</v>
      </c>
    </row>
    <row r="1199" spans="1:3" ht="15.75" x14ac:dyDescent="0.3">
      <c r="A1199" t="s">
        <v>2106</v>
      </c>
      <c r="B1199"/>
      <c r="C1199" s="3" t="s">
        <v>2107</v>
      </c>
    </row>
    <row r="1200" spans="1:3" ht="15.75" x14ac:dyDescent="0.3">
      <c r="A1200" t="s">
        <v>2108</v>
      </c>
      <c r="B1200"/>
      <c r="C1200" s="3" t="s">
        <v>2109</v>
      </c>
    </row>
    <row r="1201" spans="1:3" ht="15.75" x14ac:dyDescent="0.3">
      <c r="A1201" t="s">
        <v>2110</v>
      </c>
      <c r="B1201"/>
      <c r="C1201" s="3" t="s">
        <v>2111</v>
      </c>
    </row>
    <row r="1202" spans="1:3" ht="15.75" x14ac:dyDescent="0.3">
      <c r="A1202" t="s">
        <v>2112</v>
      </c>
      <c r="B1202"/>
      <c r="C1202" s="3" t="s">
        <v>2113</v>
      </c>
    </row>
    <row r="1203" spans="1:3" ht="15.75" x14ac:dyDescent="0.3">
      <c r="A1203" t="s">
        <v>2114</v>
      </c>
      <c r="B1203"/>
      <c r="C1203" s="3" t="s">
        <v>2115</v>
      </c>
    </row>
    <row r="1204" spans="1:3" ht="15.75" x14ac:dyDescent="0.3">
      <c r="A1204" t="s">
        <v>2116</v>
      </c>
      <c r="B1204"/>
      <c r="C1204" s="3" t="s">
        <v>2117</v>
      </c>
    </row>
    <row r="1205" spans="1:3" ht="15.75" x14ac:dyDescent="0.3">
      <c r="A1205" t="s">
        <v>2118</v>
      </c>
      <c r="B1205"/>
      <c r="C1205" s="3" t="s">
        <v>32</v>
      </c>
    </row>
    <row r="1206" spans="1:3" ht="15.75" x14ac:dyDescent="0.3">
      <c r="A1206" t="s">
        <v>2119</v>
      </c>
      <c r="B1206"/>
      <c r="C1206" s="3" t="s">
        <v>33</v>
      </c>
    </row>
    <row r="1207" spans="1:3" ht="15.75" x14ac:dyDescent="0.3">
      <c r="A1207" t="s">
        <v>2120</v>
      </c>
      <c r="B1207"/>
      <c r="C1207" s="3" t="s">
        <v>34</v>
      </c>
    </row>
    <row r="1208" spans="1:3" ht="15.75" x14ac:dyDescent="0.3">
      <c r="A1208" t="s">
        <v>2121</v>
      </c>
      <c r="B1208"/>
      <c r="C1208" s="3" t="s">
        <v>2122</v>
      </c>
    </row>
    <row r="1209" spans="1:3" ht="15.75" x14ac:dyDescent="0.3">
      <c r="A1209" t="s">
        <v>2123</v>
      </c>
      <c r="B1209"/>
      <c r="C1209" s="3" t="s">
        <v>35</v>
      </c>
    </row>
    <row r="1210" spans="1:3" ht="15.75" x14ac:dyDescent="0.3">
      <c r="A1210" t="s">
        <v>2124</v>
      </c>
      <c r="B1210"/>
      <c r="C1210" s="3" t="s">
        <v>36</v>
      </c>
    </row>
    <row r="1211" spans="1:3" ht="15.75" x14ac:dyDescent="0.3">
      <c r="A1211" t="s">
        <v>2125</v>
      </c>
      <c r="B1211"/>
      <c r="C1211" s="3" t="s">
        <v>2126</v>
      </c>
    </row>
    <row r="1212" spans="1:3" ht="15.75" x14ac:dyDescent="0.3">
      <c r="A1212" t="s">
        <v>2127</v>
      </c>
      <c r="B1212"/>
      <c r="C1212" s="3" t="s">
        <v>2128</v>
      </c>
    </row>
    <row r="1213" spans="1:3" ht="15.75" x14ac:dyDescent="0.3">
      <c r="A1213" t="s">
        <v>2129</v>
      </c>
      <c r="B1213"/>
      <c r="C1213" s="3" t="s">
        <v>2130</v>
      </c>
    </row>
    <row r="1214" spans="1:3" ht="15.75" x14ac:dyDescent="0.3">
      <c r="A1214" t="s">
        <v>2131</v>
      </c>
      <c r="B1214"/>
      <c r="C1214" s="3" t="s">
        <v>2132</v>
      </c>
    </row>
    <row r="1215" spans="1:3" ht="15.75" x14ac:dyDescent="0.3">
      <c r="A1215" t="s">
        <v>2133</v>
      </c>
      <c r="B1215"/>
      <c r="C1215" s="3" t="s">
        <v>39</v>
      </c>
    </row>
    <row r="1216" spans="1:3" ht="15.75" x14ac:dyDescent="0.3">
      <c r="A1216" t="s">
        <v>2134</v>
      </c>
      <c r="B1216"/>
      <c r="C1216" s="3" t="s">
        <v>40</v>
      </c>
    </row>
    <row r="1217" spans="1:3" ht="15.75" x14ac:dyDescent="0.3">
      <c r="A1217" t="s">
        <v>2135</v>
      </c>
      <c r="B1217"/>
      <c r="C1217" s="3" t="s">
        <v>2136</v>
      </c>
    </row>
    <row r="1218" spans="1:3" ht="15.75" x14ac:dyDescent="0.3">
      <c r="A1218" t="s">
        <v>2137</v>
      </c>
      <c r="B1218"/>
      <c r="C1218" s="3" t="s">
        <v>2138</v>
      </c>
    </row>
    <row r="1219" spans="1:3" ht="15.75" x14ac:dyDescent="0.3">
      <c r="A1219" t="s">
        <v>2139</v>
      </c>
      <c r="B1219"/>
      <c r="C1219" s="3" t="s">
        <v>2140</v>
      </c>
    </row>
    <row r="1220" spans="1:3" ht="15.75" x14ac:dyDescent="0.3">
      <c r="A1220" t="s">
        <v>2141</v>
      </c>
      <c r="B1220"/>
      <c r="C1220" s="3" t="s">
        <v>2142</v>
      </c>
    </row>
    <row r="1221" spans="1:3" ht="15.75" x14ac:dyDescent="0.3">
      <c r="A1221" t="s">
        <v>2143</v>
      </c>
      <c r="B1221"/>
      <c r="C1221" s="3" t="s">
        <v>2144</v>
      </c>
    </row>
    <row r="1222" spans="1:3" ht="15.75" x14ac:dyDescent="0.3">
      <c r="A1222" t="s">
        <v>2145</v>
      </c>
      <c r="B1222"/>
      <c r="C1222" s="3" t="s">
        <v>2146</v>
      </c>
    </row>
    <row r="1223" spans="1:3" ht="15.75" x14ac:dyDescent="0.3">
      <c r="A1223" t="s">
        <v>2147</v>
      </c>
      <c r="B1223"/>
      <c r="C1223" s="3" t="s">
        <v>2148</v>
      </c>
    </row>
    <row r="1224" spans="1:3" ht="15.75" x14ac:dyDescent="0.3">
      <c r="A1224" t="s">
        <v>2149</v>
      </c>
      <c r="B1224"/>
      <c r="C1224" s="3" t="s">
        <v>2150</v>
      </c>
    </row>
    <row r="1225" spans="1:3" ht="15.75" x14ac:dyDescent="0.3">
      <c r="A1225" t="s">
        <v>2151</v>
      </c>
      <c r="B1225"/>
      <c r="C1225" s="3" t="s">
        <v>679</v>
      </c>
    </row>
    <row r="1226" spans="1:3" ht="15.75" x14ac:dyDescent="0.3">
      <c r="A1226" t="s">
        <v>2152</v>
      </c>
      <c r="B1226"/>
      <c r="C1226" s="3" t="s">
        <v>681</v>
      </c>
    </row>
    <row r="1227" spans="1:3" ht="15.75" x14ac:dyDescent="0.3">
      <c r="A1227" t="s">
        <v>2153</v>
      </c>
      <c r="B1227"/>
      <c r="C1227" s="3" t="s">
        <v>683</v>
      </c>
    </row>
    <row r="1228" spans="1:3" ht="15.75" x14ac:dyDescent="0.3">
      <c r="A1228" t="s">
        <v>2154</v>
      </c>
      <c r="B1228"/>
      <c r="C1228" s="3" t="s">
        <v>2155</v>
      </c>
    </row>
    <row r="1229" spans="1:3" ht="15.75" x14ac:dyDescent="0.3">
      <c r="A1229" t="s">
        <v>2156</v>
      </c>
      <c r="B1229"/>
      <c r="C1229" s="3" t="s">
        <v>2157</v>
      </c>
    </row>
    <row r="1230" spans="1:3" ht="15.75" x14ac:dyDescent="0.3">
      <c r="A1230" t="s">
        <v>2158</v>
      </c>
      <c r="B1230"/>
      <c r="C1230" s="3" t="s">
        <v>2159</v>
      </c>
    </row>
    <row r="1231" spans="1:3" ht="15.75" x14ac:dyDescent="0.3">
      <c r="A1231" t="s">
        <v>2160</v>
      </c>
      <c r="B1231"/>
      <c r="C1231" s="3" t="s">
        <v>2161</v>
      </c>
    </row>
    <row r="1232" spans="1:3" ht="15.75" x14ac:dyDescent="0.3">
      <c r="A1232" t="s">
        <v>2162</v>
      </c>
      <c r="B1232"/>
      <c r="C1232" s="3" t="s">
        <v>2163</v>
      </c>
    </row>
    <row r="1233" spans="1:3" ht="15.75" x14ac:dyDescent="0.3">
      <c r="A1233" t="s">
        <v>2164</v>
      </c>
      <c r="B1233"/>
      <c r="C1233" s="3" t="s">
        <v>2165</v>
      </c>
    </row>
    <row r="1234" spans="1:3" ht="15.75" x14ac:dyDescent="0.3">
      <c r="A1234" t="s">
        <v>2166</v>
      </c>
      <c r="B1234"/>
      <c r="C1234" s="3" t="s">
        <v>42</v>
      </c>
    </row>
    <row r="1235" spans="1:3" ht="15.75" x14ac:dyDescent="0.3">
      <c r="A1235" t="s">
        <v>2167</v>
      </c>
      <c r="B1235"/>
      <c r="C1235" s="3" t="s">
        <v>43</v>
      </c>
    </row>
    <row r="1236" spans="1:3" ht="15.75" x14ac:dyDescent="0.3">
      <c r="A1236" t="s">
        <v>2168</v>
      </c>
      <c r="B1236"/>
      <c r="C1236" s="3" t="s">
        <v>2169</v>
      </c>
    </row>
    <row r="1237" spans="1:3" ht="15.75" x14ac:dyDescent="0.3">
      <c r="A1237" t="s">
        <v>2170</v>
      </c>
      <c r="B1237"/>
      <c r="C1237" s="3" t="s">
        <v>2171</v>
      </c>
    </row>
    <row r="1238" spans="1:3" ht="15.75" x14ac:dyDescent="0.3">
      <c r="A1238" t="s">
        <v>2172</v>
      </c>
      <c r="B1238"/>
      <c r="C1238" s="3" t="s">
        <v>2173</v>
      </c>
    </row>
    <row r="1239" spans="1:3" ht="15.75" x14ac:dyDescent="0.3">
      <c r="A1239" t="s">
        <v>2174</v>
      </c>
      <c r="B1239"/>
      <c r="C1239" s="3" t="s">
        <v>45</v>
      </c>
    </row>
    <row r="1240" spans="1:3" ht="15.75" x14ac:dyDescent="0.3">
      <c r="A1240" t="s">
        <v>2175</v>
      </c>
      <c r="B1240"/>
      <c r="C1240" s="3" t="s">
        <v>690</v>
      </c>
    </row>
    <row r="1241" spans="1:3" ht="15.75" x14ac:dyDescent="0.3">
      <c r="A1241" t="s">
        <v>2176</v>
      </c>
      <c r="B1241"/>
      <c r="C1241" s="3" t="s">
        <v>2177</v>
      </c>
    </row>
    <row r="1242" spans="1:3" ht="15.75" x14ac:dyDescent="0.3">
      <c r="A1242" t="s">
        <v>2178</v>
      </c>
      <c r="B1242"/>
      <c r="C1242" s="3" t="s">
        <v>692</v>
      </c>
    </row>
    <row r="1243" spans="1:3" ht="15.75" x14ac:dyDescent="0.3">
      <c r="A1243" t="s">
        <v>2179</v>
      </c>
      <c r="B1243"/>
      <c r="C1243" s="3" t="s">
        <v>2180</v>
      </c>
    </row>
    <row r="1244" spans="1:3" ht="15.75" x14ac:dyDescent="0.3">
      <c r="A1244" t="s">
        <v>2181</v>
      </c>
      <c r="B1244"/>
      <c r="C1244" s="3" t="s">
        <v>696</v>
      </c>
    </row>
    <row r="1245" spans="1:3" ht="15.75" x14ac:dyDescent="0.3">
      <c r="A1245" t="s">
        <v>2182</v>
      </c>
      <c r="B1245"/>
      <c r="C1245" s="3" t="s">
        <v>698</v>
      </c>
    </row>
    <row r="1246" spans="1:3" ht="15.75" x14ac:dyDescent="0.3">
      <c r="A1246" t="s">
        <v>2183</v>
      </c>
      <c r="B1246"/>
      <c r="C1246" s="3" t="s">
        <v>700</v>
      </c>
    </row>
    <row r="1247" spans="1:3" ht="15.75" x14ac:dyDescent="0.3">
      <c r="A1247" t="s">
        <v>2184</v>
      </c>
      <c r="B1247"/>
      <c r="C1247" s="3" t="s">
        <v>702</v>
      </c>
    </row>
    <row r="1248" spans="1:3" ht="15.75" x14ac:dyDescent="0.3">
      <c r="A1248" t="s">
        <v>2185</v>
      </c>
      <c r="B1248"/>
      <c r="C1248" s="3" t="s">
        <v>704</v>
      </c>
    </row>
    <row r="1249" spans="1:3" ht="15.75" x14ac:dyDescent="0.3">
      <c r="A1249" t="s">
        <v>2186</v>
      </c>
      <c r="B1249"/>
      <c r="C1249" s="3" t="s">
        <v>706</v>
      </c>
    </row>
    <row r="1250" spans="1:3" ht="15.75" x14ac:dyDescent="0.3">
      <c r="A1250" t="s">
        <v>2187</v>
      </c>
      <c r="B1250"/>
      <c r="C1250" s="3" t="s">
        <v>708</v>
      </c>
    </row>
    <row r="1251" spans="1:3" ht="15.75" x14ac:dyDescent="0.3">
      <c r="A1251" t="s">
        <v>2188</v>
      </c>
      <c r="B1251"/>
      <c r="C1251" s="3" t="s">
        <v>710</v>
      </c>
    </row>
    <row r="1252" spans="1:3" ht="15.75" x14ac:dyDescent="0.3">
      <c r="A1252" t="s">
        <v>2189</v>
      </c>
      <c r="B1252"/>
      <c r="C1252" s="3" t="s">
        <v>712</v>
      </c>
    </row>
    <row r="1253" spans="1:3" ht="15.75" x14ac:dyDescent="0.3">
      <c r="A1253" t="s">
        <v>2190</v>
      </c>
      <c r="B1253"/>
      <c r="C1253" s="3" t="s">
        <v>714</v>
      </c>
    </row>
    <row r="1254" spans="1:3" ht="15.75" x14ac:dyDescent="0.3">
      <c r="A1254" t="s">
        <v>2191</v>
      </c>
      <c r="B1254"/>
      <c r="C1254" s="3" t="s">
        <v>716</v>
      </c>
    </row>
    <row r="1255" spans="1:3" ht="15.75" x14ac:dyDescent="0.3">
      <c r="A1255" t="s">
        <v>2192</v>
      </c>
      <c r="B1255"/>
      <c r="C1255" s="3" t="s">
        <v>2193</v>
      </c>
    </row>
    <row r="1256" spans="1:3" ht="15.75" x14ac:dyDescent="0.3">
      <c r="A1256" t="s">
        <v>2194</v>
      </c>
      <c r="B1256"/>
      <c r="C1256" s="3" t="s">
        <v>718</v>
      </c>
    </row>
    <row r="1257" spans="1:3" ht="15.75" x14ac:dyDescent="0.3">
      <c r="A1257" t="s">
        <v>2195</v>
      </c>
      <c r="B1257"/>
      <c r="C1257" s="3" t="s">
        <v>720</v>
      </c>
    </row>
    <row r="1258" spans="1:3" ht="15.75" x14ac:dyDescent="0.3">
      <c r="A1258" t="s">
        <v>2196</v>
      </c>
      <c r="B1258"/>
      <c r="C1258" s="3" t="s">
        <v>722</v>
      </c>
    </row>
    <row r="1259" spans="1:3" ht="15.75" x14ac:dyDescent="0.3">
      <c r="A1259" t="s">
        <v>2197</v>
      </c>
      <c r="B1259"/>
      <c r="C1259" s="3" t="s">
        <v>2198</v>
      </c>
    </row>
    <row r="1260" spans="1:3" ht="15.75" x14ac:dyDescent="0.3">
      <c r="A1260" t="s">
        <v>2199</v>
      </c>
      <c r="B1260"/>
      <c r="C1260" s="3" t="s">
        <v>2200</v>
      </c>
    </row>
    <row r="1261" spans="1:3" ht="15.75" x14ac:dyDescent="0.3">
      <c r="A1261" t="s">
        <v>2201</v>
      </c>
      <c r="B1261"/>
      <c r="C1261" s="3" t="s">
        <v>726</v>
      </c>
    </row>
    <row r="1262" spans="1:3" ht="15.75" x14ac:dyDescent="0.3">
      <c r="A1262" t="s">
        <v>2202</v>
      </c>
      <c r="B1262"/>
      <c r="C1262" s="3" t="s">
        <v>728</v>
      </c>
    </row>
    <row r="1263" spans="1:3" ht="15.75" x14ac:dyDescent="0.3">
      <c r="A1263" t="s">
        <v>2203</v>
      </c>
      <c r="B1263"/>
      <c r="C1263" s="3" t="s">
        <v>46</v>
      </c>
    </row>
    <row r="1264" spans="1:3" ht="15.75" x14ac:dyDescent="0.3">
      <c r="A1264" t="s">
        <v>2204</v>
      </c>
      <c r="B1264"/>
      <c r="C1264" s="3" t="s">
        <v>47</v>
      </c>
    </row>
    <row r="1265" spans="1:3" ht="15.75" x14ac:dyDescent="0.3">
      <c r="A1265" t="s">
        <v>2205</v>
      </c>
      <c r="B1265"/>
      <c r="C1265" s="3" t="s">
        <v>732</v>
      </c>
    </row>
    <row r="1266" spans="1:3" ht="15.75" x14ac:dyDescent="0.3">
      <c r="A1266" t="s">
        <v>2206</v>
      </c>
      <c r="B1266"/>
      <c r="C1266" s="3" t="s">
        <v>734</v>
      </c>
    </row>
    <row r="1267" spans="1:3" ht="15.75" x14ac:dyDescent="0.3">
      <c r="A1267" t="s">
        <v>2207</v>
      </c>
      <c r="B1267"/>
      <c r="C1267" s="3" t="s">
        <v>736</v>
      </c>
    </row>
    <row r="1268" spans="1:3" ht="15.75" x14ac:dyDescent="0.3">
      <c r="A1268" t="s">
        <v>2208</v>
      </c>
      <c r="B1268"/>
      <c r="C1268" s="3" t="s">
        <v>738</v>
      </c>
    </row>
    <row r="1269" spans="1:3" ht="15.75" x14ac:dyDescent="0.3">
      <c r="A1269" t="s">
        <v>2209</v>
      </c>
      <c r="B1269"/>
      <c r="C1269" s="3" t="s">
        <v>740</v>
      </c>
    </row>
    <row r="1270" spans="1:3" ht="15.75" x14ac:dyDescent="0.3">
      <c r="A1270" t="s">
        <v>2210</v>
      </c>
      <c r="B1270"/>
      <c r="C1270" s="3" t="s">
        <v>742</v>
      </c>
    </row>
    <row r="1271" spans="1:3" ht="15.75" x14ac:dyDescent="0.3">
      <c r="A1271" t="s">
        <v>2211</v>
      </c>
      <c r="B1271"/>
      <c r="C1271" s="3" t="s">
        <v>744</v>
      </c>
    </row>
    <row r="1272" spans="1:3" ht="15.75" x14ac:dyDescent="0.3">
      <c r="A1272" t="s">
        <v>2212</v>
      </c>
      <c r="B1272"/>
      <c r="C1272" s="3" t="s">
        <v>48</v>
      </c>
    </row>
    <row r="1273" spans="1:3" ht="15.75" x14ac:dyDescent="0.3">
      <c r="A1273" t="s">
        <v>2213</v>
      </c>
      <c r="B1273"/>
      <c r="C1273" s="3" t="s">
        <v>2214</v>
      </c>
    </row>
    <row r="1274" spans="1:3" ht="15.75" x14ac:dyDescent="0.3">
      <c r="A1274" t="s">
        <v>2215</v>
      </c>
      <c r="B1274"/>
      <c r="C1274" s="3" t="s">
        <v>749</v>
      </c>
    </row>
    <row r="1275" spans="1:3" ht="15.75" x14ac:dyDescent="0.3">
      <c r="A1275" t="s">
        <v>2216</v>
      </c>
      <c r="B1275"/>
      <c r="C1275" s="3" t="s">
        <v>751</v>
      </c>
    </row>
    <row r="1276" spans="1:3" ht="15.75" x14ac:dyDescent="0.3">
      <c r="A1276" t="s">
        <v>2217</v>
      </c>
      <c r="B1276"/>
      <c r="C1276" s="3" t="s">
        <v>753</v>
      </c>
    </row>
    <row r="1277" spans="1:3" ht="15.75" x14ac:dyDescent="0.3">
      <c r="A1277" t="s">
        <v>2218</v>
      </c>
      <c r="B1277"/>
      <c r="C1277" s="3" t="s">
        <v>755</v>
      </c>
    </row>
    <row r="1278" spans="1:3" ht="15.75" x14ac:dyDescent="0.3">
      <c r="A1278" t="s">
        <v>2219</v>
      </c>
      <c r="B1278"/>
      <c r="C1278" s="3" t="s">
        <v>757</v>
      </c>
    </row>
    <row r="1279" spans="1:3" ht="15.75" x14ac:dyDescent="0.3">
      <c r="A1279" t="s">
        <v>2220</v>
      </c>
      <c r="B1279"/>
      <c r="C1279" s="3" t="s">
        <v>759</v>
      </c>
    </row>
    <row r="1280" spans="1:3" ht="15.75" x14ac:dyDescent="0.3">
      <c r="A1280" t="s">
        <v>2221</v>
      </c>
      <c r="B1280"/>
      <c r="C1280" s="3" t="s">
        <v>761</v>
      </c>
    </row>
    <row r="1281" spans="1:3" ht="15.75" x14ac:dyDescent="0.3">
      <c r="A1281" t="s">
        <v>2222</v>
      </c>
      <c r="B1281"/>
      <c r="C1281" s="3" t="s">
        <v>49</v>
      </c>
    </row>
    <row r="1282" spans="1:3" ht="15.75" x14ac:dyDescent="0.3">
      <c r="A1282" t="s">
        <v>2223</v>
      </c>
      <c r="B1282"/>
      <c r="C1282" s="3" t="s">
        <v>50</v>
      </c>
    </row>
    <row r="1283" spans="1:3" ht="15.75" x14ac:dyDescent="0.3">
      <c r="A1283" t="s">
        <v>2224</v>
      </c>
      <c r="B1283"/>
      <c r="C1283" s="3" t="s">
        <v>2225</v>
      </c>
    </row>
    <row r="1284" spans="1:3" ht="15.75" x14ac:dyDescent="0.3">
      <c r="A1284" t="s">
        <v>2226</v>
      </c>
      <c r="B1284"/>
      <c r="C1284" s="3" t="s">
        <v>2227</v>
      </c>
    </row>
    <row r="1285" spans="1:3" ht="15.75" x14ac:dyDescent="0.3">
      <c r="A1285" t="s">
        <v>2228</v>
      </c>
      <c r="B1285"/>
      <c r="C1285" s="3" t="s">
        <v>767</v>
      </c>
    </row>
    <row r="1286" spans="1:3" ht="15.75" x14ac:dyDescent="0.3">
      <c r="A1286" t="s">
        <v>2229</v>
      </c>
      <c r="B1286"/>
      <c r="C1286" s="3" t="s">
        <v>769</v>
      </c>
    </row>
    <row r="1287" spans="1:3" ht="15.75" x14ac:dyDescent="0.3">
      <c r="A1287" t="s">
        <v>2230</v>
      </c>
      <c r="B1287"/>
      <c r="C1287" s="3" t="s">
        <v>771</v>
      </c>
    </row>
    <row r="1288" spans="1:3" ht="15.75" x14ac:dyDescent="0.3">
      <c r="A1288" t="s">
        <v>2231</v>
      </c>
      <c r="B1288"/>
      <c r="C1288" s="3" t="s">
        <v>773</v>
      </c>
    </row>
    <row r="1289" spans="1:3" x14ac:dyDescent="0.25">
      <c r="A1289"/>
      <c r="B1289"/>
    </row>
    <row r="1290" spans="1:3" x14ac:dyDescent="0.25">
      <c r="A1290"/>
      <c r="B1290"/>
    </row>
    <row r="1291" spans="1:3" x14ac:dyDescent="0.25">
      <c r="A1291"/>
      <c r="B1291"/>
    </row>
    <row r="1292" spans="1:3" x14ac:dyDescent="0.25">
      <c r="A1292"/>
      <c r="B1292"/>
    </row>
    <row r="1293" spans="1:3" x14ac:dyDescent="0.25">
      <c r="A1293"/>
      <c r="B1293"/>
    </row>
    <row r="1294" spans="1:3" x14ac:dyDescent="0.25">
      <c r="A1294"/>
      <c r="B1294"/>
    </row>
    <row r="1295" spans="1:3" x14ac:dyDescent="0.25">
      <c r="A1295"/>
      <c r="B1295"/>
    </row>
    <row r="1296" spans="1:3" x14ac:dyDescent="0.25">
      <c r="A1296"/>
      <c r="B1296"/>
    </row>
    <row r="1297" spans="1:2" x14ac:dyDescent="0.25">
      <c r="A1297"/>
      <c r="B1297"/>
    </row>
    <row r="1298" spans="1:2" x14ac:dyDescent="0.25">
      <c r="A1298"/>
      <c r="B1298"/>
    </row>
    <row r="1299" spans="1:2" x14ac:dyDescent="0.25">
      <c r="A1299"/>
      <c r="B1299"/>
    </row>
    <row r="1300" spans="1:2" x14ac:dyDescent="0.25">
      <c r="A1300"/>
      <c r="B1300"/>
    </row>
    <row r="1301" spans="1:2" x14ac:dyDescent="0.25">
      <c r="A1301"/>
      <c r="B1301"/>
    </row>
    <row r="1302" spans="1:2" x14ac:dyDescent="0.25">
      <c r="A1302"/>
      <c r="B1302"/>
    </row>
    <row r="1303" spans="1:2" x14ac:dyDescent="0.25">
      <c r="A1303"/>
      <c r="B1303"/>
    </row>
    <row r="1304" spans="1:2" x14ac:dyDescent="0.25">
      <c r="A1304"/>
      <c r="B1304"/>
    </row>
    <row r="1305" spans="1:2" x14ac:dyDescent="0.25">
      <c r="A1305"/>
      <c r="B1305"/>
    </row>
    <row r="1306" spans="1:2" x14ac:dyDescent="0.25">
      <c r="A1306"/>
      <c r="B1306"/>
    </row>
    <row r="1307" spans="1:2" x14ac:dyDescent="0.25">
      <c r="A1307"/>
      <c r="B1307"/>
    </row>
    <row r="1308" spans="1:2" x14ac:dyDescent="0.25">
      <c r="A1308"/>
      <c r="B1308"/>
    </row>
    <row r="1309" spans="1:2" x14ac:dyDescent="0.25">
      <c r="A1309"/>
      <c r="B1309"/>
    </row>
    <row r="1310" spans="1:2" x14ac:dyDescent="0.25">
      <c r="A1310"/>
      <c r="B1310"/>
    </row>
    <row r="1311" spans="1:2" x14ac:dyDescent="0.25">
      <c r="A1311"/>
      <c r="B1311"/>
    </row>
    <row r="1312" spans="1:2" x14ac:dyDescent="0.25">
      <c r="A1312"/>
      <c r="B1312"/>
    </row>
    <row r="1313" spans="1:2" x14ac:dyDescent="0.25">
      <c r="A1313"/>
      <c r="B1313"/>
    </row>
    <row r="1314" spans="1:2" x14ac:dyDescent="0.25">
      <c r="A1314"/>
      <c r="B1314"/>
    </row>
    <row r="1315" spans="1:2" x14ac:dyDescent="0.25">
      <c r="A1315"/>
      <c r="B1315"/>
    </row>
    <row r="1316" spans="1:2" x14ac:dyDescent="0.25">
      <c r="A1316"/>
      <c r="B1316"/>
    </row>
    <row r="1317" spans="1:2" x14ac:dyDescent="0.25">
      <c r="A1317"/>
      <c r="B1317"/>
    </row>
    <row r="1318" spans="1:2" x14ac:dyDescent="0.25">
      <c r="A1318"/>
      <c r="B1318"/>
    </row>
    <row r="1319" spans="1:2" x14ac:dyDescent="0.25">
      <c r="A1319"/>
      <c r="B1319"/>
    </row>
    <row r="1320" spans="1:2" x14ac:dyDescent="0.25">
      <c r="A1320"/>
      <c r="B1320"/>
    </row>
    <row r="1321" spans="1:2" x14ac:dyDescent="0.25">
      <c r="A1321"/>
      <c r="B1321"/>
    </row>
    <row r="1322" spans="1:2" x14ac:dyDescent="0.25">
      <c r="A1322"/>
      <c r="B1322"/>
    </row>
    <row r="1323" spans="1:2" x14ac:dyDescent="0.25">
      <c r="A1323"/>
      <c r="B1323"/>
    </row>
    <row r="1324" spans="1:2" x14ac:dyDescent="0.25">
      <c r="A1324"/>
      <c r="B1324"/>
    </row>
    <row r="1325" spans="1:2" x14ac:dyDescent="0.25">
      <c r="A1325"/>
      <c r="B1325"/>
    </row>
    <row r="1326" spans="1:2" x14ac:dyDescent="0.25">
      <c r="A1326"/>
      <c r="B1326"/>
    </row>
    <row r="1327" spans="1:2" x14ac:dyDescent="0.25">
      <c r="A1327"/>
      <c r="B1327"/>
    </row>
    <row r="1328" spans="1:2" x14ac:dyDescent="0.25">
      <c r="A1328"/>
      <c r="B1328"/>
    </row>
    <row r="1329" spans="1:2" x14ac:dyDescent="0.25">
      <c r="A1329"/>
      <c r="B1329"/>
    </row>
    <row r="1330" spans="1:2" x14ac:dyDescent="0.25">
      <c r="A1330"/>
      <c r="B1330"/>
    </row>
    <row r="1331" spans="1:2" x14ac:dyDescent="0.25">
      <c r="A1331"/>
      <c r="B1331"/>
    </row>
    <row r="1332" spans="1:2" x14ac:dyDescent="0.25">
      <c r="A1332"/>
      <c r="B1332"/>
    </row>
    <row r="1333" spans="1:2" x14ac:dyDescent="0.25">
      <c r="A1333"/>
      <c r="B1333"/>
    </row>
    <row r="1334" spans="1:2" x14ac:dyDescent="0.25">
      <c r="A1334"/>
      <c r="B1334"/>
    </row>
    <row r="1335" spans="1:2" x14ac:dyDescent="0.25">
      <c r="A1335"/>
      <c r="B1335"/>
    </row>
    <row r="1336" spans="1:2" x14ac:dyDescent="0.25">
      <c r="A1336"/>
      <c r="B1336"/>
    </row>
    <row r="1337" spans="1:2" x14ac:dyDescent="0.25">
      <c r="A1337"/>
      <c r="B1337"/>
    </row>
    <row r="1338" spans="1:2" x14ac:dyDescent="0.25">
      <c r="A1338"/>
      <c r="B1338"/>
    </row>
    <row r="1339" spans="1:2" x14ac:dyDescent="0.25">
      <c r="A1339"/>
      <c r="B1339"/>
    </row>
    <row r="1340" spans="1:2" x14ac:dyDescent="0.25">
      <c r="A1340"/>
      <c r="B1340"/>
    </row>
    <row r="1341" spans="1:2" x14ac:dyDescent="0.25">
      <c r="A1341"/>
      <c r="B1341"/>
    </row>
    <row r="1342" spans="1:2" x14ac:dyDescent="0.25">
      <c r="A1342"/>
      <c r="B1342"/>
    </row>
    <row r="1343" spans="1:2" x14ac:dyDescent="0.25">
      <c r="A1343"/>
      <c r="B1343"/>
    </row>
    <row r="1344" spans="1:2" x14ac:dyDescent="0.25">
      <c r="A1344"/>
      <c r="B1344"/>
    </row>
    <row r="1345" spans="1:2" x14ac:dyDescent="0.25">
      <c r="A1345"/>
      <c r="B1345"/>
    </row>
    <row r="1346" spans="1:2" x14ac:dyDescent="0.25">
      <c r="A1346"/>
      <c r="B1346"/>
    </row>
    <row r="1347" spans="1:2" x14ac:dyDescent="0.25">
      <c r="A1347"/>
      <c r="B1347"/>
    </row>
    <row r="1348" spans="1:2" x14ac:dyDescent="0.25">
      <c r="A1348"/>
      <c r="B1348"/>
    </row>
    <row r="1349" spans="1:2" x14ac:dyDescent="0.25">
      <c r="A1349"/>
      <c r="B1349"/>
    </row>
    <row r="1350" spans="1:2" x14ac:dyDescent="0.25">
      <c r="A1350"/>
      <c r="B1350"/>
    </row>
    <row r="1351" spans="1:2" x14ac:dyDescent="0.25">
      <c r="A1351"/>
      <c r="B1351"/>
    </row>
    <row r="1352" spans="1:2" x14ac:dyDescent="0.25">
      <c r="A1352"/>
      <c r="B1352"/>
    </row>
    <row r="1353" spans="1:2" x14ac:dyDescent="0.25">
      <c r="A1353"/>
      <c r="B1353"/>
    </row>
    <row r="1354" spans="1:2" x14ac:dyDescent="0.25">
      <c r="A1354"/>
      <c r="B1354"/>
    </row>
    <row r="1355" spans="1:2" x14ac:dyDescent="0.25">
      <c r="A1355"/>
      <c r="B1355"/>
    </row>
    <row r="1356" spans="1:2" x14ac:dyDescent="0.25">
      <c r="A1356"/>
      <c r="B1356"/>
    </row>
    <row r="1357" spans="1:2" x14ac:dyDescent="0.25">
      <c r="A1357"/>
      <c r="B1357"/>
    </row>
    <row r="1358" spans="1:2" x14ac:dyDescent="0.25">
      <c r="A1358"/>
      <c r="B1358"/>
    </row>
    <row r="1359" spans="1:2" x14ac:dyDescent="0.25">
      <c r="A1359"/>
      <c r="B1359"/>
    </row>
    <row r="1360" spans="1:2" x14ac:dyDescent="0.25">
      <c r="A1360"/>
      <c r="B1360"/>
    </row>
    <row r="1361" spans="1:2" x14ac:dyDescent="0.25">
      <c r="A1361"/>
      <c r="B1361"/>
    </row>
    <row r="1362" spans="1:2" x14ac:dyDescent="0.25">
      <c r="A1362"/>
      <c r="B1362"/>
    </row>
    <row r="1363" spans="1:2" x14ac:dyDescent="0.25">
      <c r="A1363"/>
      <c r="B1363"/>
    </row>
    <row r="1364" spans="1:2" x14ac:dyDescent="0.25">
      <c r="A1364"/>
      <c r="B1364"/>
    </row>
    <row r="1365" spans="1:2" x14ac:dyDescent="0.25">
      <c r="A1365"/>
      <c r="B1365"/>
    </row>
    <row r="1366" spans="1:2" x14ac:dyDescent="0.25">
      <c r="A1366"/>
      <c r="B1366"/>
    </row>
    <row r="1367" spans="1:2" x14ac:dyDescent="0.25">
      <c r="A1367"/>
      <c r="B1367"/>
    </row>
    <row r="1368" spans="1:2" x14ac:dyDescent="0.25">
      <c r="A1368"/>
      <c r="B1368"/>
    </row>
    <row r="1369" spans="1:2" x14ac:dyDescent="0.25">
      <c r="A1369"/>
      <c r="B1369"/>
    </row>
    <row r="1370" spans="1:2" x14ac:dyDescent="0.25">
      <c r="A1370"/>
      <c r="B1370"/>
    </row>
    <row r="1371" spans="1:2" x14ac:dyDescent="0.25">
      <c r="A1371"/>
      <c r="B1371"/>
    </row>
    <row r="1372" spans="1:2" x14ac:dyDescent="0.25">
      <c r="A1372"/>
      <c r="B1372"/>
    </row>
    <row r="1373" spans="1:2" x14ac:dyDescent="0.25">
      <c r="A1373"/>
      <c r="B1373"/>
    </row>
    <row r="1374" spans="1:2" x14ac:dyDescent="0.25">
      <c r="A1374"/>
      <c r="B1374"/>
    </row>
    <row r="1375" spans="1:2" x14ac:dyDescent="0.25">
      <c r="A1375"/>
      <c r="B1375"/>
    </row>
    <row r="1376" spans="1:2" x14ac:dyDescent="0.25">
      <c r="A1376"/>
      <c r="B1376"/>
    </row>
    <row r="1377" spans="1:2" x14ac:dyDescent="0.25">
      <c r="A1377"/>
      <c r="B1377"/>
    </row>
    <row r="1378" spans="1:2" x14ac:dyDescent="0.25">
      <c r="A1378"/>
      <c r="B1378"/>
    </row>
    <row r="1379" spans="1:2" x14ac:dyDescent="0.25">
      <c r="A1379"/>
      <c r="B1379"/>
    </row>
    <row r="1380" spans="1:2" x14ac:dyDescent="0.25">
      <c r="A1380"/>
      <c r="B1380"/>
    </row>
    <row r="1381" spans="1:2" x14ac:dyDescent="0.25">
      <c r="A1381"/>
      <c r="B1381"/>
    </row>
    <row r="1382" spans="1:2" x14ac:dyDescent="0.25">
      <c r="A1382"/>
      <c r="B1382"/>
    </row>
    <row r="1383" spans="1:2" x14ac:dyDescent="0.25">
      <c r="A1383"/>
      <c r="B1383"/>
    </row>
    <row r="1384" spans="1:2" x14ac:dyDescent="0.25">
      <c r="A1384"/>
      <c r="B1384"/>
    </row>
    <row r="1385" spans="1:2" x14ac:dyDescent="0.25">
      <c r="A1385"/>
      <c r="B1385"/>
    </row>
    <row r="1386" spans="1:2" x14ac:dyDescent="0.25">
      <c r="A1386"/>
      <c r="B1386"/>
    </row>
    <row r="1387" spans="1:2" x14ac:dyDescent="0.25">
      <c r="A1387"/>
      <c r="B1387"/>
    </row>
    <row r="1388" spans="1:2" x14ac:dyDescent="0.25">
      <c r="A1388"/>
      <c r="B1388"/>
    </row>
    <row r="1389" spans="1:2" x14ac:dyDescent="0.25">
      <c r="A1389"/>
      <c r="B1389"/>
    </row>
    <row r="1390" spans="1:2" x14ac:dyDescent="0.25">
      <c r="A1390"/>
      <c r="B1390"/>
    </row>
    <row r="1391" spans="1:2" x14ac:dyDescent="0.25">
      <c r="A1391"/>
      <c r="B1391"/>
    </row>
    <row r="1392" spans="1:2" x14ac:dyDescent="0.25">
      <c r="A1392"/>
      <c r="B1392"/>
    </row>
    <row r="1393" spans="1:2" x14ac:dyDescent="0.25">
      <c r="A1393"/>
      <c r="B1393"/>
    </row>
    <row r="1394" spans="1:2" x14ac:dyDescent="0.25">
      <c r="A1394"/>
      <c r="B1394"/>
    </row>
    <row r="1395" spans="1:2" x14ac:dyDescent="0.25">
      <c r="A1395"/>
      <c r="B1395"/>
    </row>
    <row r="1396" spans="1:2" x14ac:dyDescent="0.25">
      <c r="A1396"/>
      <c r="B1396"/>
    </row>
    <row r="1397" spans="1:2" x14ac:dyDescent="0.25">
      <c r="A1397"/>
      <c r="B1397"/>
    </row>
    <row r="1398" spans="1:2" x14ac:dyDescent="0.25">
      <c r="A1398"/>
      <c r="B1398"/>
    </row>
    <row r="1399" spans="1:2" x14ac:dyDescent="0.25">
      <c r="A1399"/>
      <c r="B1399"/>
    </row>
    <row r="1400" spans="1:2" x14ac:dyDescent="0.25">
      <c r="A1400"/>
      <c r="B1400"/>
    </row>
    <row r="1401" spans="1:2" x14ac:dyDescent="0.25">
      <c r="A1401"/>
      <c r="B1401"/>
    </row>
    <row r="1402" spans="1:2" x14ac:dyDescent="0.25">
      <c r="A1402"/>
      <c r="B1402"/>
    </row>
    <row r="1403" spans="1:2" x14ac:dyDescent="0.25">
      <c r="A1403"/>
      <c r="B1403"/>
    </row>
    <row r="1404" spans="1:2" x14ac:dyDescent="0.25">
      <c r="A1404"/>
      <c r="B1404"/>
    </row>
    <row r="1405" spans="1:2" x14ac:dyDescent="0.25">
      <c r="A1405"/>
      <c r="B1405"/>
    </row>
    <row r="1406" spans="1:2" x14ac:dyDescent="0.25">
      <c r="A1406"/>
      <c r="B1406"/>
    </row>
    <row r="1407" spans="1:2" x14ac:dyDescent="0.25">
      <c r="A1407"/>
      <c r="B1407"/>
    </row>
    <row r="1408" spans="1:2" x14ac:dyDescent="0.25">
      <c r="A1408"/>
      <c r="B1408"/>
    </row>
    <row r="1409" spans="1:2" x14ac:dyDescent="0.25">
      <c r="A1409"/>
      <c r="B1409"/>
    </row>
    <row r="1410" spans="1:2" x14ac:dyDescent="0.25">
      <c r="A1410"/>
      <c r="B1410"/>
    </row>
    <row r="1411" spans="1:2" x14ac:dyDescent="0.25">
      <c r="A1411"/>
      <c r="B1411"/>
    </row>
    <row r="1412" spans="1:2" x14ac:dyDescent="0.25">
      <c r="A1412"/>
      <c r="B1412"/>
    </row>
    <row r="1413" spans="1:2" x14ac:dyDescent="0.25">
      <c r="A1413"/>
      <c r="B1413"/>
    </row>
    <row r="1414" spans="1:2" x14ac:dyDescent="0.25">
      <c r="A1414"/>
      <c r="B1414"/>
    </row>
    <row r="1415" spans="1:2" x14ac:dyDescent="0.25">
      <c r="A1415"/>
      <c r="B1415"/>
    </row>
    <row r="1416" spans="1:2" x14ac:dyDescent="0.25">
      <c r="A1416"/>
      <c r="B1416"/>
    </row>
    <row r="1417" spans="1:2" x14ac:dyDescent="0.25">
      <c r="A1417"/>
      <c r="B1417"/>
    </row>
    <row r="1418" spans="1:2" x14ac:dyDescent="0.25">
      <c r="A1418"/>
      <c r="B1418"/>
    </row>
    <row r="1419" spans="1:2" x14ac:dyDescent="0.25">
      <c r="A1419"/>
      <c r="B1419"/>
    </row>
    <row r="1420" spans="1:2" x14ac:dyDescent="0.25">
      <c r="A1420"/>
      <c r="B1420"/>
    </row>
    <row r="1421" spans="1:2" x14ac:dyDescent="0.25">
      <c r="A1421"/>
      <c r="B1421"/>
    </row>
    <row r="1422" spans="1:2" x14ac:dyDescent="0.25">
      <c r="A1422"/>
      <c r="B1422"/>
    </row>
    <row r="1423" spans="1:2" x14ac:dyDescent="0.25">
      <c r="A1423"/>
      <c r="B1423"/>
    </row>
    <row r="1424" spans="1:2" x14ac:dyDescent="0.25">
      <c r="A1424"/>
      <c r="B1424"/>
    </row>
    <row r="1425" spans="1:2" x14ac:dyDescent="0.25">
      <c r="A1425"/>
      <c r="B1425"/>
    </row>
    <row r="1426" spans="1:2" x14ac:dyDescent="0.25">
      <c r="A1426"/>
      <c r="B1426"/>
    </row>
    <row r="1427" spans="1:2" x14ac:dyDescent="0.25">
      <c r="A1427"/>
      <c r="B1427"/>
    </row>
    <row r="1428" spans="1:2" x14ac:dyDescent="0.25">
      <c r="A1428"/>
      <c r="B1428"/>
    </row>
    <row r="1429" spans="1:2" x14ac:dyDescent="0.25">
      <c r="A1429"/>
      <c r="B1429"/>
    </row>
    <row r="1430" spans="1:2" x14ac:dyDescent="0.25">
      <c r="A1430"/>
      <c r="B1430"/>
    </row>
    <row r="1431" spans="1:2" x14ac:dyDescent="0.25">
      <c r="A1431"/>
      <c r="B1431"/>
    </row>
    <row r="1432" spans="1:2" x14ac:dyDescent="0.25">
      <c r="A1432"/>
      <c r="B1432"/>
    </row>
    <row r="1433" spans="1:2" x14ac:dyDescent="0.25">
      <c r="A1433"/>
      <c r="B1433"/>
    </row>
    <row r="1434" spans="1:2" x14ac:dyDescent="0.25">
      <c r="A1434"/>
      <c r="B1434"/>
    </row>
    <row r="1435" spans="1:2" x14ac:dyDescent="0.25">
      <c r="A1435"/>
      <c r="B1435"/>
    </row>
    <row r="1436" spans="1:2" x14ac:dyDescent="0.25">
      <c r="A1436"/>
      <c r="B1436"/>
    </row>
    <row r="1437" spans="1:2" x14ac:dyDescent="0.25">
      <c r="A1437"/>
      <c r="B1437"/>
    </row>
    <row r="1438" spans="1:2" x14ac:dyDescent="0.25">
      <c r="A1438"/>
      <c r="B1438"/>
    </row>
    <row r="1439" spans="1:2" x14ac:dyDescent="0.25">
      <c r="A1439"/>
      <c r="B1439"/>
    </row>
    <row r="1440" spans="1:2" x14ac:dyDescent="0.25">
      <c r="A1440"/>
      <c r="B1440"/>
    </row>
    <row r="1441" spans="1:2" x14ac:dyDescent="0.25">
      <c r="A1441"/>
      <c r="B1441"/>
    </row>
    <row r="1442" spans="1:2" x14ac:dyDescent="0.25">
      <c r="A1442"/>
      <c r="B1442"/>
    </row>
    <row r="1443" spans="1:2" x14ac:dyDescent="0.25">
      <c r="A1443"/>
      <c r="B1443"/>
    </row>
    <row r="1444" spans="1:2" x14ac:dyDescent="0.25">
      <c r="A1444"/>
      <c r="B1444"/>
    </row>
    <row r="1445" spans="1:2" x14ac:dyDescent="0.25">
      <c r="A1445"/>
      <c r="B1445"/>
    </row>
    <row r="1446" spans="1:2" x14ac:dyDescent="0.25">
      <c r="A1446"/>
      <c r="B1446"/>
    </row>
    <row r="1447" spans="1:2" x14ac:dyDescent="0.25">
      <c r="A1447"/>
      <c r="B1447"/>
    </row>
    <row r="1448" spans="1:2" x14ac:dyDescent="0.25">
      <c r="A1448"/>
      <c r="B1448"/>
    </row>
    <row r="1449" spans="1:2" x14ac:dyDescent="0.25">
      <c r="A1449"/>
      <c r="B1449"/>
    </row>
    <row r="1450" spans="1:2" x14ac:dyDescent="0.25">
      <c r="A1450"/>
      <c r="B1450"/>
    </row>
    <row r="1451" spans="1:2" x14ac:dyDescent="0.25">
      <c r="A1451"/>
      <c r="B1451"/>
    </row>
    <row r="1452" spans="1:2" x14ac:dyDescent="0.25">
      <c r="A1452"/>
      <c r="B1452"/>
    </row>
    <row r="1453" spans="1:2" x14ac:dyDescent="0.25">
      <c r="A1453"/>
      <c r="B1453"/>
    </row>
    <row r="1454" spans="1:2" x14ac:dyDescent="0.25">
      <c r="A1454"/>
      <c r="B1454"/>
    </row>
    <row r="1455" spans="1:2" x14ac:dyDescent="0.25">
      <c r="A1455"/>
      <c r="B1455"/>
    </row>
    <row r="1456" spans="1:2" x14ac:dyDescent="0.25">
      <c r="A1456"/>
      <c r="B1456"/>
    </row>
    <row r="1457" spans="1:2" x14ac:dyDescent="0.25">
      <c r="A1457"/>
      <c r="B1457"/>
    </row>
    <row r="1458" spans="1:2" x14ac:dyDescent="0.25">
      <c r="A1458"/>
      <c r="B1458"/>
    </row>
    <row r="1459" spans="1:2" x14ac:dyDescent="0.25">
      <c r="A1459"/>
      <c r="B1459"/>
    </row>
    <row r="1460" spans="1:2" x14ac:dyDescent="0.25">
      <c r="A1460"/>
      <c r="B1460"/>
    </row>
    <row r="1461" spans="1:2" x14ac:dyDescent="0.25">
      <c r="A1461"/>
      <c r="B1461"/>
    </row>
    <row r="1462" spans="1:2" x14ac:dyDescent="0.25">
      <c r="A1462"/>
      <c r="B1462"/>
    </row>
    <row r="1463" spans="1:2" x14ac:dyDescent="0.25">
      <c r="A1463"/>
      <c r="B1463"/>
    </row>
    <row r="1464" spans="1:2" x14ac:dyDescent="0.25">
      <c r="A1464"/>
      <c r="B1464"/>
    </row>
    <row r="1465" spans="1:2" x14ac:dyDescent="0.25">
      <c r="A1465"/>
      <c r="B1465"/>
    </row>
    <row r="1466" spans="1:2" x14ac:dyDescent="0.25">
      <c r="A1466"/>
      <c r="B1466"/>
    </row>
    <row r="1467" spans="1:2" x14ac:dyDescent="0.25">
      <c r="A1467"/>
      <c r="B1467"/>
    </row>
    <row r="1468" spans="1:2" x14ac:dyDescent="0.25">
      <c r="A1468"/>
      <c r="B1468"/>
    </row>
    <row r="1469" spans="1:2" x14ac:dyDescent="0.25">
      <c r="A1469"/>
      <c r="B1469"/>
    </row>
    <row r="1470" spans="1:2" x14ac:dyDescent="0.25">
      <c r="A1470"/>
      <c r="B1470"/>
    </row>
    <row r="1471" spans="1:2" x14ac:dyDescent="0.25">
      <c r="A1471"/>
      <c r="B1471"/>
    </row>
    <row r="1472" spans="1:2" x14ac:dyDescent="0.25">
      <c r="A1472"/>
      <c r="B1472"/>
    </row>
    <row r="1473" spans="1:2" x14ac:dyDescent="0.25">
      <c r="A1473"/>
      <c r="B1473"/>
    </row>
    <row r="1474" spans="1:2" x14ac:dyDescent="0.25">
      <c r="A1474"/>
      <c r="B1474"/>
    </row>
    <row r="1475" spans="1:2" x14ac:dyDescent="0.25">
      <c r="A1475"/>
      <c r="B1475"/>
    </row>
    <row r="1476" spans="1:2" x14ac:dyDescent="0.25">
      <c r="A1476"/>
      <c r="B1476"/>
    </row>
    <row r="1477" spans="1:2" x14ac:dyDescent="0.25">
      <c r="A1477"/>
      <c r="B1477"/>
    </row>
    <row r="1478" spans="1:2" x14ac:dyDescent="0.25">
      <c r="A1478"/>
      <c r="B1478"/>
    </row>
    <row r="1479" spans="1:2" x14ac:dyDescent="0.25">
      <c r="A1479"/>
      <c r="B1479"/>
    </row>
    <row r="1480" spans="1:2" x14ac:dyDescent="0.25">
      <c r="A1480"/>
      <c r="B1480"/>
    </row>
    <row r="1481" spans="1:2" x14ac:dyDescent="0.25">
      <c r="A1481"/>
      <c r="B1481"/>
    </row>
    <row r="1482" spans="1:2" x14ac:dyDescent="0.25">
      <c r="A1482"/>
      <c r="B1482"/>
    </row>
    <row r="1483" spans="1:2" x14ac:dyDescent="0.25">
      <c r="A1483"/>
      <c r="B1483"/>
    </row>
    <row r="1484" spans="1:2" x14ac:dyDescent="0.25">
      <c r="A1484"/>
      <c r="B1484"/>
    </row>
    <row r="1485" spans="1:2" x14ac:dyDescent="0.25">
      <c r="A1485"/>
      <c r="B1485"/>
    </row>
    <row r="1486" spans="1:2" x14ac:dyDescent="0.25">
      <c r="A1486"/>
      <c r="B1486"/>
    </row>
    <row r="1487" spans="1:2" x14ac:dyDescent="0.25">
      <c r="A1487"/>
      <c r="B1487"/>
    </row>
    <row r="1488" spans="1:2" x14ac:dyDescent="0.25">
      <c r="A1488"/>
      <c r="B1488"/>
    </row>
    <row r="1489" spans="1:2" x14ac:dyDescent="0.25">
      <c r="A1489"/>
      <c r="B1489"/>
    </row>
    <row r="1490" spans="1:2" x14ac:dyDescent="0.25">
      <c r="A1490"/>
      <c r="B1490"/>
    </row>
    <row r="1491" spans="1:2" x14ac:dyDescent="0.25">
      <c r="A1491"/>
      <c r="B1491"/>
    </row>
    <row r="1492" spans="1:2" x14ac:dyDescent="0.25">
      <c r="A1492"/>
      <c r="B1492"/>
    </row>
    <row r="1493" spans="1:2" x14ac:dyDescent="0.25">
      <c r="A1493"/>
      <c r="B1493"/>
    </row>
    <row r="1494" spans="1:2" x14ac:dyDescent="0.25">
      <c r="A1494"/>
      <c r="B1494"/>
    </row>
    <row r="1495" spans="1:2" x14ac:dyDescent="0.25">
      <c r="A1495"/>
      <c r="B1495"/>
    </row>
    <row r="1496" spans="1:2" x14ac:dyDescent="0.25">
      <c r="A1496"/>
      <c r="B1496"/>
    </row>
    <row r="1497" spans="1:2" x14ac:dyDescent="0.25">
      <c r="A1497"/>
      <c r="B1497"/>
    </row>
    <row r="1498" spans="1:2" x14ac:dyDescent="0.25">
      <c r="A1498"/>
      <c r="B1498"/>
    </row>
    <row r="1499" spans="1:2" x14ac:dyDescent="0.25">
      <c r="A1499"/>
      <c r="B1499"/>
    </row>
    <row r="1500" spans="1:2" x14ac:dyDescent="0.25">
      <c r="A1500"/>
      <c r="B1500"/>
    </row>
    <row r="1501" spans="1:2" x14ac:dyDescent="0.25">
      <c r="A1501"/>
      <c r="B1501"/>
    </row>
    <row r="1502" spans="1:2" x14ac:dyDescent="0.25">
      <c r="A1502"/>
      <c r="B1502"/>
    </row>
    <row r="1503" spans="1:2" x14ac:dyDescent="0.25">
      <c r="A1503"/>
      <c r="B1503"/>
    </row>
    <row r="1504" spans="1:2" x14ac:dyDescent="0.25">
      <c r="A1504"/>
      <c r="B1504"/>
    </row>
    <row r="1505" spans="1:2" x14ac:dyDescent="0.25">
      <c r="A1505"/>
      <c r="B1505"/>
    </row>
    <row r="1506" spans="1:2" x14ac:dyDescent="0.25">
      <c r="A1506"/>
      <c r="B1506"/>
    </row>
    <row r="1507" spans="1:2" x14ac:dyDescent="0.25">
      <c r="A1507"/>
      <c r="B1507"/>
    </row>
    <row r="1508" spans="1:2" x14ac:dyDescent="0.25">
      <c r="A1508"/>
      <c r="B1508"/>
    </row>
    <row r="1509" spans="1:2" x14ac:dyDescent="0.25">
      <c r="A1509"/>
      <c r="B1509"/>
    </row>
    <row r="1510" spans="1:2" x14ac:dyDescent="0.25">
      <c r="A1510"/>
      <c r="B1510"/>
    </row>
    <row r="1511" spans="1:2" x14ac:dyDescent="0.25">
      <c r="A1511"/>
      <c r="B1511"/>
    </row>
    <row r="1512" spans="1:2" x14ac:dyDescent="0.25">
      <c r="A1512"/>
      <c r="B1512"/>
    </row>
    <row r="1513" spans="1:2" x14ac:dyDescent="0.25">
      <c r="A1513"/>
      <c r="B1513"/>
    </row>
    <row r="1514" spans="1:2" x14ac:dyDescent="0.25">
      <c r="A1514"/>
      <c r="B1514"/>
    </row>
    <row r="1515" spans="1:2" x14ac:dyDescent="0.25">
      <c r="A1515"/>
      <c r="B1515"/>
    </row>
    <row r="1516" spans="1:2" x14ac:dyDescent="0.25">
      <c r="A1516"/>
      <c r="B1516"/>
    </row>
    <row r="1517" spans="1:2" x14ac:dyDescent="0.25">
      <c r="A1517"/>
      <c r="B1517"/>
    </row>
    <row r="1518" spans="1:2" x14ac:dyDescent="0.25">
      <c r="A1518"/>
      <c r="B1518"/>
    </row>
    <row r="1519" spans="1:2" x14ac:dyDescent="0.25">
      <c r="A1519"/>
      <c r="B1519"/>
    </row>
    <row r="1520" spans="1:2" x14ac:dyDescent="0.25">
      <c r="A1520"/>
      <c r="B1520"/>
    </row>
    <row r="1521" spans="1:2" x14ac:dyDescent="0.25">
      <c r="A1521"/>
      <c r="B1521"/>
    </row>
    <row r="1522" spans="1:2" x14ac:dyDescent="0.25">
      <c r="A1522"/>
      <c r="B1522"/>
    </row>
    <row r="1523" spans="1:2" x14ac:dyDescent="0.25">
      <c r="A1523"/>
      <c r="B1523"/>
    </row>
    <row r="1524" spans="1:2" x14ac:dyDescent="0.25">
      <c r="A1524"/>
      <c r="B1524"/>
    </row>
    <row r="1525" spans="1:2" x14ac:dyDescent="0.25">
      <c r="A1525"/>
      <c r="B1525"/>
    </row>
    <row r="1526" spans="1:2" x14ac:dyDescent="0.25">
      <c r="A1526"/>
      <c r="B1526"/>
    </row>
    <row r="1527" spans="1:2" x14ac:dyDescent="0.25">
      <c r="A1527"/>
      <c r="B1527"/>
    </row>
    <row r="1528" spans="1:2" x14ac:dyDescent="0.25">
      <c r="A1528"/>
      <c r="B1528"/>
    </row>
    <row r="1529" spans="1:2" x14ac:dyDescent="0.25">
      <c r="A1529"/>
      <c r="B1529"/>
    </row>
    <row r="1530" spans="1:2" x14ac:dyDescent="0.25">
      <c r="A1530"/>
      <c r="B1530"/>
    </row>
    <row r="1531" spans="1:2" x14ac:dyDescent="0.25">
      <c r="A1531"/>
      <c r="B1531"/>
    </row>
    <row r="1532" spans="1:2" x14ac:dyDescent="0.25">
      <c r="A1532"/>
      <c r="B1532"/>
    </row>
    <row r="1533" spans="1:2" x14ac:dyDescent="0.25">
      <c r="A1533"/>
      <c r="B1533"/>
    </row>
    <row r="1534" spans="1:2" x14ac:dyDescent="0.25">
      <c r="A1534"/>
      <c r="B1534"/>
    </row>
    <row r="1535" spans="1:2" x14ac:dyDescent="0.25">
      <c r="A1535"/>
      <c r="B1535"/>
    </row>
    <row r="1536" spans="1:2" x14ac:dyDescent="0.25">
      <c r="A1536"/>
      <c r="B1536"/>
    </row>
    <row r="1537" spans="1:2" x14ac:dyDescent="0.25">
      <c r="A1537"/>
      <c r="B1537"/>
    </row>
    <row r="1538" spans="1:2" x14ac:dyDescent="0.25">
      <c r="A1538"/>
      <c r="B1538"/>
    </row>
    <row r="1539" spans="1:2" x14ac:dyDescent="0.25">
      <c r="A1539"/>
      <c r="B1539"/>
    </row>
    <row r="1540" spans="1:2" x14ac:dyDescent="0.25">
      <c r="A1540"/>
      <c r="B1540"/>
    </row>
    <row r="1541" spans="1:2" x14ac:dyDescent="0.25">
      <c r="A1541"/>
      <c r="B1541"/>
    </row>
    <row r="1542" spans="1:2" x14ac:dyDescent="0.25">
      <c r="A1542"/>
      <c r="B1542"/>
    </row>
    <row r="1543" spans="1:2" x14ac:dyDescent="0.25">
      <c r="A1543"/>
      <c r="B1543"/>
    </row>
    <row r="1544" spans="1:2" x14ac:dyDescent="0.25">
      <c r="A1544"/>
      <c r="B1544"/>
    </row>
    <row r="1545" spans="1:2" x14ac:dyDescent="0.25">
      <c r="A1545"/>
      <c r="B1545"/>
    </row>
    <row r="1546" spans="1:2" x14ac:dyDescent="0.25">
      <c r="A1546"/>
      <c r="B1546"/>
    </row>
    <row r="1547" spans="1:2" x14ac:dyDescent="0.25">
      <c r="A1547"/>
      <c r="B1547"/>
    </row>
    <row r="1548" spans="1:2" x14ac:dyDescent="0.25">
      <c r="A1548"/>
      <c r="B1548"/>
    </row>
    <row r="1549" spans="1:2" x14ac:dyDescent="0.25">
      <c r="A1549"/>
      <c r="B1549"/>
    </row>
    <row r="1550" spans="1:2" x14ac:dyDescent="0.25">
      <c r="A1550"/>
      <c r="B1550"/>
    </row>
    <row r="1551" spans="1:2" x14ac:dyDescent="0.25">
      <c r="A1551"/>
      <c r="B1551"/>
    </row>
    <row r="1552" spans="1:2" x14ac:dyDescent="0.25">
      <c r="A1552"/>
      <c r="B1552"/>
    </row>
    <row r="1553" spans="1:2" x14ac:dyDescent="0.25">
      <c r="A1553"/>
      <c r="B1553"/>
    </row>
    <row r="1554" spans="1:2" x14ac:dyDescent="0.25">
      <c r="A1554"/>
      <c r="B1554"/>
    </row>
    <row r="1555" spans="1:2" x14ac:dyDescent="0.25">
      <c r="A1555"/>
      <c r="B1555"/>
    </row>
    <row r="1556" spans="1:2" x14ac:dyDescent="0.25">
      <c r="A1556"/>
      <c r="B1556"/>
    </row>
    <row r="1557" spans="1:2" x14ac:dyDescent="0.25">
      <c r="A1557"/>
      <c r="B1557"/>
    </row>
    <row r="1558" spans="1:2" x14ac:dyDescent="0.25">
      <c r="A1558"/>
      <c r="B1558"/>
    </row>
    <row r="1559" spans="1:2" x14ac:dyDescent="0.25">
      <c r="A1559"/>
      <c r="B1559"/>
    </row>
    <row r="1560" spans="1:2" x14ac:dyDescent="0.25">
      <c r="A1560"/>
      <c r="B1560"/>
    </row>
    <row r="1561" spans="1:2" x14ac:dyDescent="0.25">
      <c r="A1561"/>
      <c r="B1561"/>
    </row>
    <row r="1562" spans="1:2" x14ac:dyDescent="0.25">
      <c r="A1562"/>
      <c r="B1562"/>
    </row>
    <row r="1563" spans="1:2" x14ac:dyDescent="0.25">
      <c r="A1563"/>
      <c r="B1563"/>
    </row>
    <row r="1564" spans="1:2" x14ac:dyDescent="0.25">
      <c r="A1564"/>
      <c r="B1564"/>
    </row>
    <row r="1565" spans="1:2" x14ac:dyDescent="0.25">
      <c r="A1565"/>
      <c r="B1565"/>
    </row>
    <row r="1566" spans="1:2" x14ac:dyDescent="0.25">
      <c r="A1566"/>
      <c r="B1566"/>
    </row>
    <row r="1567" spans="1:2" x14ac:dyDescent="0.25">
      <c r="A1567"/>
      <c r="B1567"/>
    </row>
    <row r="1568" spans="1:2" x14ac:dyDescent="0.25">
      <c r="A1568"/>
      <c r="B1568"/>
    </row>
    <row r="1569" spans="1:2" x14ac:dyDescent="0.25">
      <c r="A1569"/>
      <c r="B1569"/>
    </row>
    <row r="1570" spans="1:2" x14ac:dyDescent="0.25">
      <c r="A1570"/>
      <c r="B1570"/>
    </row>
    <row r="1571" spans="1:2" x14ac:dyDescent="0.25">
      <c r="A1571"/>
      <c r="B1571"/>
    </row>
    <row r="1572" spans="1:2" x14ac:dyDescent="0.25">
      <c r="A1572"/>
      <c r="B1572"/>
    </row>
    <row r="1573" spans="1:2" x14ac:dyDescent="0.25">
      <c r="A1573"/>
      <c r="B1573"/>
    </row>
    <row r="1574" spans="1:2" x14ac:dyDescent="0.25">
      <c r="A1574"/>
      <c r="B1574"/>
    </row>
    <row r="1575" spans="1:2" x14ac:dyDescent="0.25">
      <c r="A1575"/>
      <c r="B1575"/>
    </row>
    <row r="1576" spans="1:2" x14ac:dyDescent="0.25">
      <c r="A1576"/>
      <c r="B1576"/>
    </row>
    <row r="1577" spans="1:2" x14ac:dyDescent="0.25">
      <c r="A1577"/>
      <c r="B1577"/>
    </row>
    <row r="1578" spans="1:2" x14ac:dyDescent="0.25">
      <c r="A1578"/>
      <c r="B1578"/>
    </row>
    <row r="1579" spans="1:2" x14ac:dyDescent="0.25">
      <c r="A1579"/>
      <c r="B1579"/>
    </row>
    <row r="1580" spans="1:2" x14ac:dyDescent="0.25">
      <c r="A1580"/>
      <c r="B1580"/>
    </row>
    <row r="1581" spans="1:2" x14ac:dyDescent="0.25">
      <c r="A1581"/>
      <c r="B1581"/>
    </row>
    <row r="1582" spans="1:2" x14ac:dyDescent="0.25">
      <c r="A1582"/>
      <c r="B1582"/>
    </row>
    <row r="1583" spans="1:2" x14ac:dyDescent="0.25">
      <c r="A1583"/>
      <c r="B1583"/>
    </row>
    <row r="1584" spans="1:2" x14ac:dyDescent="0.25">
      <c r="A1584"/>
      <c r="B1584"/>
    </row>
    <row r="1585" spans="1:2" x14ac:dyDescent="0.25">
      <c r="A1585"/>
      <c r="B1585"/>
    </row>
    <row r="1586" spans="1:2" x14ac:dyDescent="0.25">
      <c r="A1586"/>
      <c r="B1586"/>
    </row>
    <row r="1587" spans="1:2" x14ac:dyDescent="0.25">
      <c r="A1587"/>
      <c r="B1587"/>
    </row>
    <row r="1588" spans="1:2" x14ac:dyDescent="0.25">
      <c r="A1588"/>
      <c r="B1588"/>
    </row>
    <row r="1589" spans="1:2" x14ac:dyDescent="0.25">
      <c r="A1589"/>
      <c r="B1589"/>
    </row>
    <row r="1590" spans="1:2" x14ac:dyDescent="0.25">
      <c r="A1590"/>
      <c r="B1590"/>
    </row>
    <row r="1591" spans="1:2" x14ac:dyDescent="0.25">
      <c r="A1591"/>
      <c r="B1591"/>
    </row>
    <row r="1592" spans="1:2" x14ac:dyDescent="0.25">
      <c r="A1592"/>
      <c r="B1592"/>
    </row>
    <row r="1593" spans="1:2" x14ac:dyDescent="0.25">
      <c r="A1593"/>
      <c r="B1593"/>
    </row>
    <row r="1594" spans="1:2" x14ac:dyDescent="0.25">
      <c r="A1594"/>
      <c r="B1594"/>
    </row>
    <row r="1595" spans="1:2" x14ac:dyDescent="0.25">
      <c r="A1595"/>
      <c r="B1595"/>
    </row>
    <row r="1596" spans="1:2" x14ac:dyDescent="0.25">
      <c r="A1596"/>
      <c r="B1596"/>
    </row>
    <row r="1597" spans="1:2" x14ac:dyDescent="0.25">
      <c r="A1597"/>
      <c r="B1597"/>
    </row>
    <row r="1598" spans="1:2" x14ac:dyDescent="0.25">
      <c r="A1598"/>
      <c r="B1598"/>
    </row>
    <row r="1599" spans="1:2" x14ac:dyDescent="0.25">
      <c r="A1599"/>
      <c r="B1599"/>
    </row>
    <row r="1600" spans="1:2" x14ac:dyDescent="0.25">
      <c r="A1600"/>
      <c r="B1600"/>
    </row>
    <row r="1601" spans="1:2" x14ac:dyDescent="0.25">
      <c r="A1601"/>
      <c r="B1601"/>
    </row>
    <row r="1602" spans="1:2" x14ac:dyDescent="0.25">
      <c r="A1602"/>
      <c r="B1602"/>
    </row>
    <row r="1603" spans="1:2" x14ac:dyDescent="0.25">
      <c r="A1603"/>
      <c r="B1603"/>
    </row>
    <row r="1604" spans="1:2" x14ac:dyDescent="0.25">
      <c r="A1604"/>
      <c r="B1604"/>
    </row>
    <row r="1605" spans="1:2" x14ac:dyDescent="0.25">
      <c r="A1605"/>
      <c r="B1605"/>
    </row>
    <row r="1606" spans="1:2" x14ac:dyDescent="0.25">
      <c r="A1606"/>
      <c r="B1606"/>
    </row>
    <row r="1607" spans="1:2" x14ac:dyDescent="0.25">
      <c r="A1607"/>
      <c r="B1607"/>
    </row>
    <row r="1608" spans="1:2" x14ac:dyDescent="0.25">
      <c r="A1608"/>
      <c r="B1608"/>
    </row>
    <row r="1609" spans="1:2" x14ac:dyDescent="0.25">
      <c r="A1609"/>
      <c r="B1609"/>
    </row>
    <row r="1610" spans="1:2" x14ac:dyDescent="0.25">
      <c r="A1610"/>
      <c r="B1610"/>
    </row>
    <row r="1611" spans="1:2" x14ac:dyDescent="0.25">
      <c r="A1611"/>
      <c r="B1611"/>
    </row>
    <row r="1612" spans="1:2" x14ac:dyDescent="0.25">
      <c r="A1612"/>
      <c r="B1612"/>
    </row>
    <row r="1613" spans="1:2" x14ac:dyDescent="0.25">
      <c r="A1613"/>
      <c r="B1613"/>
    </row>
    <row r="1614" spans="1:2" x14ac:dyDescent="0.25">
      <c r="A1614"/>
      <c r="B1614"/>
    </row>
    <row r="1615" spans="1:2" x14ac:dyDescent="0.25">
      <c r="A1615"/>
      <c r="B1615"/>
    </row>
    <row r="1616" spans="1:2" x14ac:dyDescent="0.25">
      <c r="A1616"/>
      <c r="B1616"/>
    </row>
    <row r="1617" spans="1:2" x14ac:dyDescent="0.25">
      <c r="A1617"/>
      <c r="B1617"/>
    </row>
    <row r="1618" spans="1:2" x14ac:dyDescent="0.25">
      <c r="A1618"/>
      <c r="B1618"/>
    </row>
    <row r="1619" spans="1:2" x14ac:dyDescent="0.25">
      <c r="A1619"/>
      <c r="B1619"/>
    </row>
    <row r="1620" spans="1:2" x14ac:dyDescent="0.25">
      <c r="A1620"/>
      <c r="B1620"/>
    </row>
    <row r="1621" spans="1:2" x14ac:dyDescent="0.25">
      <c r="A1621"/>
      <c r="B1621"/>
    </row>
    <row r="1622" spans="1:2" x14ac:dyDescent="0.25">
      <c r="A1622"/>
      <c r="B1622"/>
    </row>
    <row r="1623" spans="1:2" x14ac:dyDescent="0.25">
      <c r="A1623"/>
      <c r="B1623"/>
    </row>
    <row r="1624" spans="1:2" x14ac:dyDescent="0.25">
      <c r="A1624"/>
      <c r="B1624"/>
    </row>
    <row r="1625" spans="1:2" x14ac:dyDescent="0.25">
      <c r="A1625"/>
      <c r="B1625"/>
    </row>
    <row r="1626" spans="1:2" x14ac:dyDescent="0.25">
      <c r="A1626"/>
      <c r="B1626"/>
    </row>
    <row r="1627" spans="1:2" x14ac:dyDescent="0.25">
      <c r="A1627"/>
      <c r="B1627"/>
    </row>
    <row r="1628" spans="1:2" x14ac:dyDescent="0.25">
      <c r="A1628"/>
      <c r="B1628"/>
    </row>
    <row r="1629" spans="1:2" x14ac:dyDescent="0.25">
      <c r="A1629"/>
      <c r="B1629"/>
    </row>
    <row r="1630" spans="1:2" x14ac:dyDescent="0.25">
      <c r="A1630"/>
      <c r="B1630"/>
    </row>
    <row r="1631" spans="1:2" x14ac:dyDescent="0.25">
      <c r="A1631"/>
      <c r="B1631"/>
    </row>
    <row r="1632" spans="1:2" x14ac:dyDescent="0.25">
      <c r="A1632"/>
      <c r="B1632"/>
    </row>
    <row r="1633" spans="1:2" x14ac:dyDescent="0.25">
      <c r="A1633"/>
      <c r="B1633"/>
    </row>
    <row r="1634" spans="1:2" x14ac:dyDescent="0.25">
      <c r="A1634"/>
      <c r="B1634"/>
    </row>
    <row r="1635" spans="1:2" x14ac:dyDescent="0.25">
      <c r="A1635"/>
      <c r="B1635"/>
    </row>
    <row r="1636" spans="1:2" x14ac:dyDescent="0.25">
      <c r="A1636"/>
      <c r="B1636"/>
    </row>
    <row r="1637" spans="1:2" x14ac:dyDescent="0.25">
      <c r="A1637"/>
      <c r="B1637"/>
    </row>
    <row r="1638" spans="1:2" x14ac:dyDescent="0.25">
      <c r="A1638"/>
      <c r="B1638"/>
    </row>
    <row r="1639" spans="1:2" x14ac:dyDescent="0.25">
      <c r="A1639"/>
      <c r="B1639"/>
    </row>
    <row r="1640" spans="1:2" x14ac:dyDescent="0.25">
      <c r="A1640"/>
      <c r="B1640"/>
    </row>
    <row r="1641" spans="1:2" x14ac:dyDescent="0.25">
      <c r="A1641"/>
      <c r="B1641"/>
    </row>
    <row r="1642" spans="1:2" x14ac:dyDescent="0.25">
      <c r="A1642"/>
      <c r="B1642"/>
    </row>
    <row r="1643" spans="1:2" x14ac:dyDescent="0.25">
      <c r="A1643"/>
      <c r="B1643"/>
    </row>
    <row r="1644" spans="1:2" x14ac:dyDescent="0.25">
      <c r="A1644"/>
      <c r="B1644"/>
    </row>
    <row r="1645" spans="1:2" x14ac:dyDescent="0.25">
      <c r="A1645"/>
      <c r="B1645"/>
    </row>
    <row r="1646" spans="1:2" x14ac:dyDescent="0.25">
      <c r="A1646"/>
      <c r="B1646"/>
    </row>
    <row r="1647" spans="1:2" x14ac:dyDescent="0.25">
      <c r="A1647"/>
      <c r="B1647"/>
    </row>
    <row r="1648" spans="1:2" x14ac:dyDescent="0.25">
      <c r="A1648"/>
      <c r="B1648"/>
    </row>
    <row r="1649" spans="1:2" x14ac:dyDescent="0.25">
      <c r="A1649"/>
      <c r="B1649"/>
    </row>
    <row r="1650" spans="1:2" x14ac:dyDescent="0.25">
      <c r="A1650"/>
      <c r="B1650"/>
    </row>
    <row r="1651" spans="1:2" x14ac:dyDescent="0.25">
      <c r="A1651"/>
      <c r="B1651"/>
    </row>
    <row r="1652" spans="1:2" x14ac:dyDescent="0.25">
      <c r="A1652"/>
      <c r="B1652"/>
    </row>
    <row r="1653" spans="1:2" x14ac:dyDescent="0.25">
      <c r="A1653"/>
      <c r="B1653"/>
    </row>
    <row r="1654" spans="1:2" x14ac:dyDescent="0.25">
      <c r="A1654"/>
      <c r="B1654"/>
    </row>
    <row r="1655" spans="1:2" x14ac:dyDescent="0.25">
      <c r="A1655"/>
      <c r="B1655"/>
    </row>
    <row r="1656" spans="1:2" x14ac:dyDescent="0.25">
      <c r="A1656"/>
      <c r="B1656"/>
    </row>
    <row r="1657" spans="1:2" x14ac:dyDescent="0.25">
      <c r="A1657"/>
      <c r="B1657"/>
    </row>
    <row r="1658" spans="1:2" x14ac:dyDescent="0.25">
      <c r="A1658"/>
      <c r="B1658"/>
    </row>
    <row r="1659" spans="1:2" x14ac:dyDescent="0.25">
      <c r="A1659"/>
      <c r="B1659"/>
    </row>
    <row r="1660" spans="1:2" x14ac:dyDescent="0.25">
      <c r="A1660"/>
      <c r="B1660"/>
    </row>
    <row r="1661" spans="1:2" x14ac:dyDescent="0.25">
      <c r="A1661"/>
      <c r="B1661"/>
    </row>
    <row r="1662" spans="1:2" x14ac:dyDescent="0.25">
      <c r="A1662"/>
      <c r="B1662"/>
    </row>
    <row r="1663" spans="1:2" x14ac:dyDescent="0.25">
      <c r="A1663"/>
      <c r="B1663"/>
    </row>
    <row r="1664" spans="1:2" x14ac:dyDescent="0.25">
      <c r="A1664"/>
      <c r="B1664"/>
    </row>
    <row r="1665" spans="1:2" x14ac:dyDescent="0.25">
      <c r="A1665"/>
      <c r="B1665"/>
    </row>
    <row r="1666" spans="1:2" x14ac:dyDescent="0.25">
      <c r="A1666"/>
      <c r="B1666"/>
    </row>
    <row r="1667" spans="1:2" x14ac:dyDescent="0.25">
      <c r="A1667"/>
      <c r="B1667"/>
    </row>
    <row r="1668" spans="1:2" x14ac:dyDescent="0.25">
      <c r="A1668"/>
      <c r="B1668"/>
    </row>
    <row r="1669" spans="1:2" x14ac:dyDescent="0.25">
      <c r="A1669"/>
      <c r="B1669"/>
    </row>
    <row r="1670" spans="1:2" x14ac:dyDescent="0.25">
      <c r="A1670"/>
      <c r="B1670"/>
    </row>
    <row r="1671" spans="1:2" x14ac:dyDescent="0.25">
      <c r="A1671"/>
      <c r="B1671"/>
    </row>
    <row r="1672" spans="1:2" x14ac:dyDescent="0.25">
      <c r="A1672"/>
      <c r="B1672"/>
    </row>
    <row r="1673" spans="1:2" x14ac:dyDescent="0.25">
      <c r="A1673"/>
      <c r="B1673"/>
    </row>
    <row r="1674" spans="1:2" x14ac:dyDescent="0.25">
      <c r="A1674"/>
      <c r="B1674"/>
    </row>
    <row r="1675" spans="1:2" x14ac:dyDescent="0.25">
      <c r="A1675"/>
      <c r="B1675"/>
    </row>
    <row r="1676" spans="1:2" x14ac:dyDescent="0.25">
      <c r="A1676"/>
      <c r="B1676"/>
    </row>
    <row r="1677" spans="1:2" x14ac:dyDescent="0.25">
      <c r="A1677"/>
      <c r="B1677"/>
    </row>
    <row r="1678" spans="1:2" x14ac:dyDescent="0.25">
      <c r="A1678"/>
      <c r="B1678"/>
    </row>
    <row r="1679" spans="1:2" x14ac:dyDescent="0.25">
      <c r="A1679"/>
      <c r="B1679"/>
    </row>
    <row r="1680" spans="1:2" x14ac:dyDescent="0.25">
      <c r="A1680"/>
      <c r="B1680"/>
    </row>
    <row r="1681" spans="1:2" x14ac:dyDescent="0.25">
      <c r="A1681"/>
      <c r="B1681"/>
    </row>
    <row r="1682" spans="1:2" x14ac:dyDescent="0.25">
      <c r="A1682"/>
      <c r="B1682"/>
    </row>
    <row r="1683" spans="1:2" x14ac:dyDescent="0.25">
      <c r="A1683"/>
      <c r="B1683"/>
    </row>
    <row r="1684" spans="1:2" x14ac:dyDescent="0.25">
      <c r="A1684"/>
      <c r="B1684"/>
    </row>
    <row r="1685" spans="1:2" x14ac:dyDescent="0.25">
      <c r="A1685"/>
      <c r="B1685"/>
    </row>
    <row r="1686" spans="1:2" x14ac:dyDescent="0.25">
      <c r="A1686"/>
      <c r="B1686"/>
    </row>
    <row r="1687" spans="1:2" x14ac:dyDescent="0.25">
      <c r="A1687"/>
      <c r="B1687"/>
    </row>
    <row r="1688" spans="1:2" x14ac:dyDescent="0.25">
      <c r="A1688"/>
      <c r="B1688"/>
    </row>
    <row r="1689" spans="1:2" x14ac:dyDescent="0.25">
      <c r="A1689"/>
      <c r="B1689"/>
    </row>
    <row r="1690" spans="1:2" x14ac:dyDescent="0.25">
      <c r="A1690"/>
      <c r="B1690"/>
    </row>
    <row r="1691" spans="1:2" x14ac:dyDescent="0.25">
      <c r="A1691"/>
      <c r="B1691"/>
    </row>
    <row r="1692" spans="1:2" x14ac:dyDescent="0.25">
      <c r="A1692"/>
      <c r="B1692"/>
    </row>
    <row r="1693" spans="1:2" x14ac:dyDescent="0.25">
      <c r="A1693"/>
      <c r="B1693"/>
    </row>
    <row r="1694" spans="1:2" x14ac:dyDescent="0.25">
      <c r="A1694"/>
      <c r="B1694"/>
    </row>
    <row r="1695" spans="1:2" x14ac:dyDescent="0.25">
      <c r="A1695"/>
      <c r="B1695"/>
    </row>
    <row r="1696" spans="1:2" x14ac:dyDescent="0.25">
      <c r="A1696"/>
      <c r="B1696"/>
    </row>
    <row r="1697" spans="1:2" x14ac:dyDescent="0.25">
      <c r="A1697"/>
      <c r="B1697"/>
    </row>
    <row r="1698" spans="1:2" x14ac:dyDescent="0.25">
      <c r="A1698"/>
      <c r="B1698"/>
    </row>
    <row r="1699" spans="1:2" x14ac:dyDescent="0.25">
      <c r="A1699"/>
      <c r="B1699"/>
    </row>
    <row r="1700" spans="1:2" x14ac:dyDescent="0.25">
      <c r="A1700"/>
      <c r="B1700"/>
    </row>
    <row r="1701" spans="1:2" x14ac:dyDescent="0.25">
      <c r="A1701"/>
      <c r="B1701"/>
    </row>
    <row r="1702" spans="1:2" x14ac:dyDescent="0.25">
      <c r="A1702"/>
      <c r="B1702"/>
    </row>
    <row r="1703" spans="1:2" x14ac:dyDescent="0.25">
      <c r="A1703"/>
      <c r="B1703"/>
    </row>
    <row r="1704" spans="1:2" x14ac:dyDescent="0.25">
      <c r="A1704"/>
      <c r="B1704"/>
    </row>
    <row r="1705" spans="1:2" x14ac:dyDescent="0.25">
      <c r="A1705"/>
      <c r="B1705"/>
    </row>
    <row r="1706" spans="1:2" x14ac:dyDescent="0.25">
      <c r="A1706"/>
      <c r="B1706"/>
    </row>
    <row r="1707" spans="1:2" x14ac:dyDescent="0.25">
      <c r="A1707"/>
      <c r="B1707"/>
    </row>
    <row r="1708" spans="1:2" x14ac:dyDescent="0.25">
      <c r="A1708"/>
      <c r="B1708"/>
    </row>
    <row r="1709" spans="1:2" x14ac:dyDescent="0.25">
      <c r="A1709"/>
      <c r="B1709"/>
    </row>
    <row r="1710" spans="1:2" x14ac:dyDescent="0.25">
      <c r="A1710"/>
      <c r="B1710"/>
    </row>
    <row r="1711" spans="1:2" x14ac:dyDescent="0.25">
      <c r="A1711"/>
      <c r="B1711"/>
    </row>
    <row r="1712" spans="1:2" x14ac:dyDescent="0.25">
      <c r="A1712"/>
      <c r="B1712"/>
    </row>
    <row r="1713" spans="1:2" x14ac:dyDescent="0.25">
      <c r="A1713"/>
      <c r="B1713"/>
    </row>
    <row r="1714" spans="1:2" x14ac:dyDescent="0.25">
      <c r="A1714"/>
      <c r="B1714"/>
    </row>
    <row r="1715" spans="1:2" x14ac:dyDescent="0.25">
      <c r="A1715"/>
      <c r="B1715"/>
    </row>
    <row r="1716" spans="1:2" x14ac:dyDescent="0.25">
      <c r="A1716"/>
      <c r="B1716"/>
    </row>
    <row r="1717" spans="1:2" x14ac:dyDescent="0.25">
      <c r="A1717"/>
      <c r="B1717"/>
    </row>
    <row r="1718" spans="1:2" x14ac:dyDescent="0.25">
      <c r="A1718"/>
      <c r="B1718"/>
    </row>
    <row r="1719" spans="1:2" x14ac:dyDescent="0.25">
      <c r="A1719"/>
      <c r="B1719"/>
    </row>
    <row r="1720" spans="1:2" x14ac:dyDescent="0.25">
      <c r="A1720"/>
      <c r="B1720"/>
    </row>
    <row r="1721" spans="1:2" x14ac:dyDescent="0.25">
      <c r="A1721"/>
      <c r="B1721"/>
    </row>
    <row r="1722" spans="1:2" x14ac:dyDescent="0.25">
      <c r="A1722"/>
      <c r="B1722"/>
    </row>
    <row r="1723" spans="1:2" x14ac:dyDescent="0.25">
      <c r="A1723"/>
      <c r="B1723"/>
    </row>
    <row r="1724" spans="1:2" x14ac:dyDescent="0.25">
      <c r="A1724"/>
      <c r="B1724"/>
    </row>
    <row r="1725" spans="1:2" x14ac:dyDescent="0.25">
      <c r="A1725"/>
      <c r="B1725"/>
    </row>
    <row r="1726" spans="1:2" x14ac:dyDescent="0.25">
      <c r="A1726"/>
      <c r="B1726"/>
    </row>
    <row r="1727" spans="1:2" x14ac:dyDescent="0.25">
      <c r="A1727"/>
      <c r="B1727"/>
    </row>
    <row r="1728" spans="1:2" x14ac:dyDescent="0.25">
      <c r="A1728"/>
      <c r="B1728"/>
    </row>
    <row r="1729" spans="1:2" x14ac:dyDescent="0.25">
      <c r="A1729"/>
      <c r="B1729"/>
    </row>
    <row r="1730" spans="1:2" x14ac:dyDescent="0.25">
      <c r="A1730"/>
      <c r="B1730"/>
    </row>
    <row r="1731" spans="1:2" x14ac:dyDescent="0.25">
      <c r="A1731"/>
      <c r="B1731"/>
    </row>
    <row r="1732" spans="1:2" x14ac:dyDescent="0.25">
      <c r="A1732"/>
      <c r="B1732"/>
    </row>
    <row r="1733" spans="1:2" x14ac:dyDescent="0.25">
      <c r="A1733"/>
      <c r="B1733"/>
    </row>
    <row r="1734" spans="1:2" x14ac:dyDescent="0.25">
      <c r="A1734"/>
      <c r="B1734"/>
    </row>
    <row r="1735" spans="1:2" x14ac:dyDescent="0.25">
      <c r="A1735"/>
      <c r="B1735"/>
    </row>
    <row r="1736" spans="1:2" x14ac:dyDescent="0.25">
      <c r="A1736"/>
      <c r="B1736"/>
    </row>
    <row r="1737" spans="1:2" x14ac:dyDescent="0.25">
      <c r="A1737"/>
      <c r="B1737"/>
    </row>
    <row r="1738" spans="1:2" x14ac:dyDescent="0.25">
      <c r="A1738"/>
      <c r="B1738"/>
    </row>
    <row r="1739" spans="1:2" x14ac:dyDescent="0.25">
      <c r="A1739"/>
      <c r="B1739"/>
    </row>
    <row r="1740" spans="1:2" x14ac:dyDescent="0.25">
      <c r="A1740"/>
      <c r="B1740"/>
    </row>
    <row r="1741" spans="1:2" x14ac:dyDescent="0.25">
      <c r="A1741"/>
      <c r="B1741"/>
    </row>
    <row r="1742" spans="1:2" x14ac:dyDescent="0.25">
      <c r="A1742"/>
      <c r="B1742"/>
    </row>
    <row r="1743" spans="1:2" x14ac:dyDescent="0.25">
      <c r="A1743"/>
      <c r="B1743"/>
    </row>
    <row r="1744" spans="1:2" x14ac:dyDescent="0.25">
      <c r="A1744"/>
      <c r="B1744"/>
    </row>
    <row r="1745" spans="1:2" x14ac:dyDescent="0.25">
      <c r="A1745"/>
      <c r="B1745"/>
    </row>
    <row r="1746" spans="1:2" x14ac:dyDescent="0.25">
      <c r="A1746"/>
      <c r="B1746"/>
    </row>
    <row r="1747" spans="1:2" x14ac:dyDescent="0.25">
      <c r="A1747"/>
      <c r="B1747"/>
    </row>
    <row r="1748" spans="1:2" x14ac:dyDescent="0.25">
      <c r="A1748"/>
      <c r="B1748"/>
    </row>
    <row r="1749" spans="1:2" x14ac:dyDescent="0.25">
      <c r="A1749"/>
      <c r="B1749"/>
    </row>
    <row r="1750" spans="1:2" x14ac:dyDescent="0.25">
      <c r="A1750"/>
      <c r="B1750"/>
    </row>
    <row r="1751" spans="1:2" x14ac:dyDescent="0.25">
      <c r="A1751"/>
      <c r="B1751"/>
    </row>
    <row r="1752" spans="1:2" x14ac:dyDescent="0.25">
      <c r="A1752"/>
      <c r="B1752"/>
    </row>
    <row r="1753" spans="1:2" x14ac:dyDescent="0.25">
      <c r="A1753"/>
      <c r="B1753"/>
    </row>
    <row r="1754" spans="1:2" x14ac:dyDescent="0.25">
      <c r="A1754"/>
      <c r="B1754"/>
    </row>
    <row r="1755" spans="1:2" x14ac:dyDescent="0.25">
      <c r="A1755"/>
      <c r="B1755"/>
    </row>
    <row r="1756" spans="1:2" x14ac:dyDescent="0.25">
      <c r="A1756"/>
      <c r="B1756"/>
    </row>
    <row r="1757" spans="1:2" x14ac:dyDescent="0.25">
      <c r="A1757"/>
      <c r="B1757"/>
    </row>
    <row r="1758" spans="1:2" x14ac:dyDescent="0.25">
      <c r="A1758"/>
      <c r="B1758"/>
    </row>
    <row r="1759" spans="1:2" x14ac:dyDescent="0.25">
      <c r="A1759"/>
      <c r="B1759"/>
    </row>
    <row r="1760" spans="1:2" x14ac:dyDescent="0.25">
      <c r="A1760"/>
      <c r="B1760"/>
    </row>
    <row r="1761" spans="1:2" x14ac:dyDescent="0.25">
      <c r="A1761"/>
      <c r="B1761"/>
    </row>
    <row r="1762" spans="1:2" x14ac:dyDescent="0.25">
      <c r="A1762"/>
      <c r="B1762"/>
    </row>
    <row r="1763" spans="1:2" x14ac:dyDescent="0.25">
      <c r="A1763"/>
      <c r="B1763"/>
    </row>
    <row r="1764" spans="1:2" x14ac:dyDescent="0.25">
      <c r="A1764"/>
      <c r="B1764"/>
    </row>
    <row r="1765" spans="1:2" x14ac:dyDescent="0.25">
      <c r="A1765"/>
      <c r="B1765"/>
    </row>
    <row r="1766" spans="1:2" x14ac:dyDescent="0.25">
      <c r="A1766"/>
      <c r="B1766"/>
    </row>
    <row r="1767" spans="1:2" x14ac:dyDescent="0.25">
      <c r="A1767"/>
      <c r="B1767"/>
    </row>
    <row r="1768" spans="1:2" x14ac:dyDescent="0.25">
      <c r="A1768"/>
      <c r="B1768"/>
    </row>
    <row r="1769" spans="1:2" x14ac:dyDescent="0.25">
      <c r="A1769"/>
      <c r="B1769"/>
    </row>
    <row r="1770" spans="1:2" x14ac:dyDescent="0.25">
      <c r="A1770"/>
      <c r="B1770"/>
    </row>
    <row r="1771" spans="1:2" x14ac:dyDescent="0.25">
      <c r="A1771"/>
      <c r="B1771"/>
    </row>
    <row r="1772" spans="1:2" x14ac:dyDescent="0.25">
      <c r="A1772"/>
      <c r="B1772"/>
    </row>
    <row r="1773" spans="1:2" x14ac:dyDescent="0.25">
      <c r="A1773"/>
      <c r="B1773"/>
    </row>
    <row r="1774" spans="1:2" x14ac:dyDescent="0.25">
      <c r="A1774"/>
      <c r="B1774"/>
    </row>
    <row r="1775" spans="1:2" x14ac:dyDescent="0.25">
      <c r="A1775"/>
      <c r="B1775"/>
    </row>
    <row r="1776" spans="1:2" x14ac:dyDescent="0.25">
      <c r="A1776"/>
      <c r="B1776"/>
    </row>
    <row r="1777" spans="1:2" x14ac:dyDescent="0.25">
      <c r="A1777"/>
      <c r="B1777"/>
    </row>
    <row r="1778" spans="1:2" x14ac:dyDescent="0.25">
      <c r="A1778"/>
      <c r="B1778"/>
    </row>
    <row r="1779" spans="1:2" x14ac:dyDescent="0.25">
      <c r="A1779"/>
      <c r="B1779"/>
    </row>
    <row r="1780" spans="1:2" x14ac:dyDescent="0.25">
      <c r="A1780"/>
      <c r="B1780"/>
    </row>
    <row r="1781" spans="1:2" x14ac:dyDescent="0.25">
      <c r="A1781"/>
      <c r="B1781"/>
    </row>
    <row r="1782" spans="1:2" x14ac:dyDescent="0.25">
      <c r="A1782"/>
      <c r="B1782"/>
    </row>
    <row r="1783" spans="1:2" x14ac:dyDescent="0.25">
      <c r="A1783"/>
      <c r="B1783"/>
    </row>
    <row r="1784" spans="1:2" x14ac:dyDescent="0.25">
      <c r="A1784"/>
      <c r="B1784"/>
    </row>
    <row r="1785" spans="1:2" x14ac:dyDescent="0.25">
      <c r="A1785"/>
      <c r="B1785"/>
    </row>
    <row r="1786" spans="1:2" x14ac:dyDescent="0.25">
      <c r="A1786"/>
      <c r="B1786"/>
    </row>
    <row r="1787" spans="1:2" x14ac:dyDescent="0.25">
      <c r="A1787"/>
      <c r="B1787"/>
    </row>
    <row r="1788" spans="1:2" x14ac:dyDescent="0.25">
      <c r="A1788"/>
      <c r="B1788"/>
    </row>
    <row r="1789" spans="1:2" x14ac:dyDescent="0.25">
      <c r="A1789"/>
      <c r="B1789"/>
    </row>
    <row r="1790" spans="1:2" x14ac:dyDescent="0.25">
      <c r="A1790"/>
      <c r="B1790"/>
    </row>
    <row r="1791" spans="1:2" x14ac:dyDescent="0.25">
      <c r="A1791"/>
      <c r="B1791"/>
    </row>
    <row r="1792" spans="1:2" x14ac:dyDescent="0.25">
      <c r="A1792"/>
      <c r="B1792"/>
    </row>
    <row r="1793" spans="1:2" x14ac:dyDescent="0.25">
      <c r="A1793"/>
      <c r="B1793"/>
    </row>
    <row r="1794" spans="1:2" x14ac:dyDescent="0.25">
      <c r="A1794"/>
      <c r="B1794"/>
    </row>
    <row r="1795" spans="1:2" x14ac:dyDescent="0.25">
      <c r="A1795"/>
      <c r="B1795"/>
    </row>
    <row r="1796" spans="1:2" x14ac:dyDescent="0.25">
      <c r="A1796"/>
      <c r="B1796"/>
    </row>
    <row r="1797" spans="1:2" x14ac:dyDescent="0.25">
      <c r="A1797"/>
      <c r="B1797"/>
    </row>
    <row r="1798" spans="1:2" x14ac:dyDescent="0.25">
      <c r="A1798"/>
      <c r="B1798"/>
    </row>
    <row r="1799" spans="1:2" x14ac:dyDescent="0.25">
      <c r="A1799"/>
      <c r="B1799"/>
    </row>
    <row r="1800" spans="1:2" x14ac:dyDescent="0.25">
      <c r="A1800"/>
      <c r="B1800"/>
    </row>
    <row r="1801" spans="1:2" x14ac:dyDescent="0.25">
      <c r="A1801"/>
      <c r="B1801"/>
    </row>
    <row r="1802" spans="1:2" x14ac:dyDescent="0.25">
      <c r="A1802"/>
      <c r="B1802"/>
    </row>
    <row r="1803" spans="1:2" x14ac:dyDescent="0.25">
      <c r="A1803"/>
      <c r="B1803"/>
    </row>
    <row r="1804" spans="1:2" x14ac:dyDescent="0.25">
      <c r="A1804"/>
      <c r="B1804"/>
    </row>
    <row r="1805" spans="1:2" x14ac:dyDescent="0.25">
      <c r="A1805"/>
      <c r="B1805"/>
    </row>
    <row r="1806" spans="1:2" x14ac:dyDescent="0.25">
      <c r="A1806"/>
      <c r="B1806"/>
    </row>
    <row r="1807" spans="1:2" x14ac:dyDescent="0.25">
      <c r="A1807"/>
      <c r="B1807"/>
    </row>
    <row r="1808" spans="1:2" x14ac:dyDescent="0.25">
      <c r="A1808"/>
      <c r="B1808"/>
    </row>
    <row r="1809" spans="1:2" x14ac:dyDescent="0.25">
      <c r="A1809"/>
      <c r="B1809"/>
    </row>
    <row r="1810" spans="1:2" x14ac:dyDescent="0.25">
      <c r="A1810"/>
      <c r="B1810"/>
    </row>
    <row r="1811" spans="1:2" x14ac:dyDescent="0.25">
      <c r="A1811"/>
      <c r="B1811"/>
    </row>
    <row r="1812" spans="1:2" x14ac:dyDescent="0.25">
      <c r="A1812"/>
      <c r="B1812"/>
    </row>
    <row r="1813" spans="1:2" x14ac:dyDescent="0.25">
      <c r="A1813"/>
      <c r="B1813"/>
    </row>
    <row r="1814" spans="1:2" x14ac:dyDescent="0.25">
      <c r="A1814"/>
      <c r="B1814"/>
    </row>
    <row r="1815" spans="1:2" x14ac:dyDescent="0.25">
      <c r="A1815"/>
      <c r="B1815"/>
    </row>
    <row r="1816" spans="1:2" x14ac:dyDescent="0.25">
      <c r="A1816"/>
      <c r="B1816"/>
    </row>
    <row r="1817" spans="1:2" x14ac:dyDescent="0.25">
      <c r="A1817"/>
      <c r="B1817"/>
    </row>
    <row r="1818" spans="1:2" x14ac:dyDescent="0.25">
      <c r="A1818"/>
      <c r="B1818"/>
    </row>
    <row r="1819" spans="1:2" x14ac:dyDescent="0.25">
      <c r="A1819"/>
      <c r="B1819"/>
    </row>
    <row r="1820" spans="1:2" x14ac:dyDescent="0.25">
      <c r="A1820"/>
      <c r="B1820"/>
    </row>
    <row r="1821" spans="1:2" x14ac:dyDescent="0.25">
      <c r="A1821"/>
      <c r="B1821"/>
    </row>
    <row r="1822" spans="1:2" x14ac:dyDescent="0.25">
      <c r="A1822"/>
      <c r="B1822"/>
    </row>
    <row r="1823" spans="1:2" x14ac:dyDescent="0.25">
      <c r="A1823"/>
      <c r="B1823"/>
    </row>
    <row r="1824" spans="1:2" x14ac:dyDescent="0.25">
      <c r="A1824"/>
      <c r="B1824"/>
    </row>
    <row r="1825" spans="1:2" x14ac:dyDescent="0.25">
      <c r="A1825"/>
      <c r="B1825"/>
    </row>
    <row r="1826" spans="1:2" x14ac:dyDescent="0.25">
      <c r="A1826"/>
      <c r="B1826"/>
    </row>
    <row r="1827" spans="1:2" x14ac:dyDescent="0.25">
      <c r="A1827"/>
      <c r="B1827"/>
    </row>
    <row r="1828" spans="1:2" x14ac:dyDescent="0.25">
      <c r="A1828"/>
      <c r="B1828"/>
    </row>
    <row r="1829" spans="1:2" x14ac:dyDescent="0.25">
      <c r="A1829"/>
      <c r="B1829"/>
    </row>
    <row r="1830" spans="1:2" x14ac:dyDescent="0.25">
      <c r="A1830"/>
      <c r="B1830"/>
    </row>
    <row r="1831" spans="1:2" x14ac:dyDescent="0.25">
      <c r="A1831"/>
      <c r="B1831"/>
    </row>
    <row r="1832" spans="1:2" x14ac:dyDescent="0.25">
      <c r="A1832"/>
      <c r="B1832"/>
    </row>
    <row r="1833" spans="1:2" x14ac:dyDescent="0.25">
      <c r="A1833"/>
      <c r="B1833"/>
    </row>
    <row r="1834" spans="1:2" x14ac:dyDescent="0.25">
      <c r="A1834"/>
      <c r="B1834"/>
    </row>
    <row r="1835" spans="1:2" x14ac:dyDescent="0.25">
      <c r="A1835"/>
      <c r="B1835"/>
    </row>
    <row r="1836" spans="1:2" x14ac:dyDescent="0.25">
      <c r="A1836"/>
      <c r="B1836"/>
    </row>
    <row r="1837" spans="1:2" x14ac:dyDescent="0.25">
      <c r="A1837"/>
      <c r="B1837"/>
    </row>
    <row r="1838" spans="1:2" x14ac:dyDescent="0.25">
      <c r="A1838"/>
      <c r="B1838"/>
    </row>
    <row r="1839" spans="1:2" x14ac:dyDescent="0.25">
      <c r="A1839"/>
      <c r="B1839"/>
    </row>
    <row r="1840" spans="1:2" x14ac:dyDescent="0.25">
      <c r="A1840"/>
      <c r="B1840"/>
    </row>
    <row r="1841" spans="1:2" x14ac:dyDescent="0.25">
      <c r="A1841"/>
      <c r="B1841"/>
    </row>
    <row r="1842" spans="1:2" x14ac:dyDescent="0.25">
      <c r="A1842"/>
      <c r="B1842"/>
    </row>
    <row r="1843" spans="1:2" x14ac:dyDescent="0.25">
      <c r="A1843"/>
      <c r="B1843"/>
    </row>
    <row r="1844" spans="1:2" x14ac:dyDescent="0.25">
      <c r="A1844"/>
      <c r="B1844"/>
    </row>
    <row r="1845" spans="1:2" x14ac:dyDescent="0.25">
      <c r="A1845"/>
      <c r="B1845"/>
    </row>
    <row r="1846" spans="1:2" x14ac:dyDescent="0.25">
      <c r="A1846"/>
      <c r="B1846"/>
    </row>
    <row r="1847" spans="1:2" x14ac:dyDescent="0.25">
      <c r="A1847"/>
      <c r="B1847"/>
    </row>
    <row r="1848" spans="1:2" x14ac:dyDescent="0.25">
      <c r="A1848"/>
      <c r="B1848"/>
    </row>
    <row r="1849" spans="1:2" x14ac:dyDescent="0.25">
      <c r="A1849"/>
      <c r="B1849"/>
    </row>
    <row r="1850" spans="1:2" x14ac:dyDescent="0.25">
      <c r="A1850"/>
      <c r="B1850"/>
    </row>
    <row r="1851" spans="1:2" x14ac:dyDescent="0.25">
      <c r="A1851"/>
      <c r="B1851"/>
    </row>
    <row r="1852" spans="1:2" x14ac:dyDescent="0.25">
      <c r="A1852"/>
      <c r="B1852"/>
    </row>
    <row r="1853" spans="1:2" x14ac:dyDescent="0.25">
      <c r="A1853"/>
      <c r="B1853"/>
    </row>
    <row r="1854" spans="1:2" x14ac:dyDescent="0.25">
      <c r="A1854"/>
      <c r="B1854"/>
    </row>
    <row r="1855" spans="1:2" x14ac:dyDescent="0.25">
      <c r="A1855"/>
      <c r="B1855"/>
    </row>
    <row r="1856" spans="1:2" x14ac:dyDescent="0.25">
      <c r="A1856"/>
      <c r="B1856"/>
    </row>
    <row r="1857" spans="1:2" x14ac:dyDescent="0.25">
      <c r="A1857"/>
      <c r="B1857"/>
    </row>
    <row r="1858" spans="1:2" x14ac:dyDescent="0.25">
      <c r="A1858"/>
      <c r="B1858"/>
    </row>
    <row r="1859" spans="1:2" x14ac:dyDescent="0.25">
      <c r="A1859"/>
      <c r="B1859"/>
    </row>
    <row r="1860" spans="1:2" x14ac:dyDescent="0.25">
      <c r="A1860"/>
      <c r="B1860"/>
    </row>
    <row r="1861" spans="1:2" x14ac:dyDescent="0.25">
      <c r="A1861"/>
      <c r="B1861"/>
    </row>
    <row r="1862" spans="1:2" x14ac:dyDescent="0.25">
      <c r="A1862"/>
      <c r="B1862"/>
    </row>
    <row r="1863" spans="1:2" x14ac:dyDescent="0.25">
      <c r="A1863"/>
      <c r="B1863"/>
    </row>
    <row r="1864" spans="1:2" x14ac:dyDescent="0.25">
      <c r="A1864"/>
      <c r="B1864"/>
    </row>
    <row r="1865" spans="1:2" x14ac:dyDescent="0.25">
      <c r="A1865"/>
      <c r="B1865"/>
    </row>
    <row r="1866" spans="1:2" x14ac:dyDescent="0.25">
      <c r="A1866"/>
      <c r="B1866"/>
    </row>
    <row r="1867" spans="1:2" x14ac:dyDescent="0.25">
      <c r="A1867"/>
      <c r="B1867"/>
    </row>
    <row r="1868" spans="1:2" x14ac:dyDescent="0.25">
      <c r="A1868"/>
      <c r="B1868"/>
    </row>
    <row r="1869" spans="1:2" x14ac:dyDescent="0.25">
      <c r="A1869"/>
      <c r="B1869"/>
    </row>
    <row r="1870" spans="1:2" x14ac:dyDescent="0.25">
      <c r="A1870"/>
      <c r="B1870"/>
    </row>
    <row r="1871" spans="1:2" x14ac:dyDescent="0.25">
      <c r="A1871"/>
      <c r="B1871"/>
    </row>
    <row r="1872" spans="1:2" x14ac:dyDescent="0.25">
      <c r="A1872"/>
      <c r="B1872"/>
    </row>
    <row r="1873" spans="1:2" x14ac:dyDescent="0.25">
      <c r="A1873"/>
      <c r="B1873"/>
    </row>
    <row r="1874" spans="1:2" x14ac:dyDescent="0.25">
      <c r="A1874"/>
      <c r="B1874"/>
    </row>
    <row r="1875" spans="1:2" x14ac:dyDescent="0.25">
      <c r="A1875"/>
      <c r="B1875"/>
    </row>
    <row r="1876" spans="1:2" x14ac:dyDescent="0.25">
      <c r="A1876"/>
      <c r="B1876"/>
    </row>
    <row r="1877" spans="1:2" x14ac:dyDescent="0.25">
      <c r="A1877"/>
      <c r="B1877"/>
    </row>
    <row r="1878" spans="1:2" x14ac:dyDescent="0.25">
      <c r="A1878"/>
      <c r="B1878"/>
    </row>
    <row r="1879" spans="1:2" x14ac:dyDescent="0.25">
      <c r="A1879"/>
      <c r="B1879"/>
    </row>
    <row r="1880" spans="1:2" x14ac:dyDescent="0.25">
      <c r="A1880"/>
      <c r="B1880"/>
    </row>
    <row r="1881" spans="1:2" x14ac:dyDescent="0.25">
      <c r="A1881"/>
      <c r="B1881"/>
    </row>
    <row r="1882" spans="1:2" x14ac:dyDescent="0.25">
      <c r="A1882"/>
      <c r="B1882"/>
    </row>
    <row r="1883" spans="1:2" x14ac:dyDescent="0.25">
      <c r="A1883"/>
      <c r="B1883"/>
    </row>
    <row r="1884" spans="1:2" x14ac:dyDescent="0.25">
      <c r="A1884"/>
      <c r="B1884"/>
    </row>
    <row r="1885" spans="1:2" x14ac:dyDescent="0.25">
      <c r="A1885"/>
      <c r="B1885"/>
    </row>
    <row r="1886" spans="1:2" x14ac:dyDescent="0.25">
      <c r="A1886"/>
      <c r="B1886"/>
    </row>
    <row r="1887" spans="1:2" x14ac:dyDescent="0.25">
      <c r="A1887"/>
      <c r="B1887"/>
    </row>
    <row r="1888" spans="1:2" x14ac:dyDescent="0.25">
      <c r="A1888"/>
      <c r="B1888"/>
    </row>
    <row r="1889" spans="1:2" x14ac:dyDescent="0.25">
      <c r="A1889"/>
      <c r="B1889"/>
    </row>
    <row r="1890" spans="1:2" x14ac:dyDescent="0.25">
      <c r="A1890"/>
      <c r="B1890"/>
    </row>
    <row r="1891" spans="1:2" x14ac:dyDescent="0.25">
      <c r="A1891"/>
      <c r="B1891"/>
    </row>
    <row r="1892" spans="1:2" x14ac:dyDescent="0.25">
      <c r="A1892"/>
      <c r="B1892"/>
    </row>
    <row r="1893" spans="1:2" x14ac:dyDescent="0.25">
      <c r="A1893"/>
      <c r="B1893"/>
    </row>
    <row r="1894" spans="1:2" x14ac:dyDescent="0.25">
      <c r="A1894"/>
      <c r="B1894"/>
    </row>
    <row r="1895" spans="1:2" x14ac:dyDescent="0.25">
      <c r="A1895"/>
      <c r="B1895"/>
    </row>
    <row r="1896" spans="1:2" x14ac:dyDescent="0.25">
      <c r="A1896"/>
      <c r="B1896"/>
    </row>
    <row r="1897" spans="1:2" x14ac:dyDescent="0.25">
      <c r="A1897"/>
      <c r="B1897"/>
    </row>
    <row r="1898" spans="1:2" x14ac:dyDescent="0.25">
      <c r="A1898"/>
      <c r="B1898"/>
    </row>
    <row r="1899" spans="1:2" x14ac:dyDescent="0.25">
      <c r="A1899"/>
      <c r="B1899"/>
    </row>
    <row r="1900" spans="1:2" x14ac:dyDescent="0.25">
      <c r="A1900"/>
      <c r="B1900"/>
    </row>
    <row r="1901" spans="1:2" x14ac:dyDescent="0.25">
      <c r="A1901"/>
      <c r="B1901"/>
    </row>
    <row r="1902" spans="1:2" x14ac:dyDescent="0.25">
      <c r="A1902"/>
      <c r="B1902"/>
    </row>
    <row r="1903" spans="1:2" x14ac:dyDescent="0.25">
      <c r="A1903"/>
      <c r="B1903"/>
    </row>
    <row r="1904" spans="1:2" x14ac:dyDescent="0.25">
      <c r="A1904"/>
      <c r="B1904"/>
    </row>
    <row r="1905" spans="1:2" x14ac:dyDescent="0.25">
      <c r="A1905"/>
      <c r="B1905"/>
    </row>
    <row r="1906" spans="1:2" x14ac:dyDescent="0.25">
      <c r="A1906"/>
      <c r="B1906"/>
    </row>
    <row r="1907" spans="1:2" x14ac:dyDescent="0.25">
      <c r="A1907"/>
      <c r="B1907"/>
    </row>
    <row r="1908" spans="1:2" x14ac:dyDescent="0.25">
      <c r="A1908"/>
      <c r="B1908"/>
    </row>
    <row r="1909" spans="1:2" x14ac:dyDescent="0.25">
      <c r="A1909"/>
      <c r="B1909"/>
    </row>
    <row r="1910" spans="1:2" x14ac:dyDescent="0.25">
      <c r="A1910"/>
      <c r="B1910"/>
    </row>
    <row r="1911" spans="1:2" x14ac:dyDescent="0.25">
      <c r="A1911"/>
      <c r="B1911"/>
    </row>
    <row r="1912" spans="1:2" x14ac:dyDescent="0.25">
      <c r="A1912"/>
      <c r="B1912"/>
    </row>
    <row r="1913" spans="1:2" x14ac:dyDescent="0.25">
      <c r="A1913"/>
      <c r="B1913"/>
    </row>
    <row r="1914" spans="1:2" x14ac:dyDescent="0.25">
      <c r="A1914"/>
      <c r="B1914"/>
    </row>
    <row r="1915" spans="1:2" x14ac:dyDescent="0.25">
      <c r="A1915"/>
      <c r="B1915"/>
    </row>
    <row r="1916" spans="1:2" x14ac:dyDescent="0.25">
      <c r="A1916"/>
      <c r="B1916"/>
    </row>
    <row r="1917" spans="1:2" x14ac:dyDescent="0.25">
      <c r="A1917"/>
      <c r="B1917"/>
    </row>
    <row r="1918" spans="1:2" x14ac:dyDescent="0.25">
      <c r="A1918"/>
      <c r="B1918"/>
    </row>
    <row r="1919" spans="1:2" x14ac:dyDescent="0.25">
      <c r="A1919"/>
      <c r="B1919"/>
    </row>
    <row r="1920" spans="1:2" x14ac:dyDescent="0.25">
      <c r="A1920"/>
      <c r="B1920"/>
    </row>
    <row r="1921" spans="1:2" x14ac:dyDescent="0.25">
      <c r="A1921"/>
      <c r="B1921"/>
    </row>
    <row r="1922" spans="1:2" x14ac:dyDescent="0.25">
      <c r="A1922"/>
      <c r="B1922"/>
    </row>
    <row r="1923" spans="1:2" x14ac:dyDescent="0.25">
      <c r="A1923"/>
      <c r="B1923"/>
    </row>
    <row r="1924" spans="1:2" x14ac:dyDescent="0.25">
      <c r="A1924"/>
      <c r="B1924"/>
    </row>
    <row r="1925" spans="1:2" x14ac:dyDescent="0.25">
      <c r="A1925"/>
      <c r="B1925"/>
    </row>
    <row r="1926" spans="1:2" x14ac:dyDescent="0.25">
      <c r="A1926"/>
      <c r="B1926"/>
    </row>
    <row r="1927" spans="1:2" x14ac:dyDescent="0.25">
      <c r="A1927"/>
      <c r="B1927"/>
    </row>
    <row r="1928" spans="1:2" x14ac:dyDescent="0.25">
      <c r="A1928"/>
      <c r="B1928"/>
    </row>
    <row r="1929" spans="1:2" x14ac:dyDescent="0.25">
      <c r="A1929"/>
      <c r="B1929"/>
    </row>
    <row r="1930" spans="1:2" x14ac:dyDescent="0.25">
      <c r="A1930"/>
      <c r="B1930"/>
    </row>
    <row r="1931" spans="1:2" x14ac:dyDescent="0.25">
      <c r="A1931"/>
      <c r="B1931"/>
    </row>
    <row r="1932" spans="1:2" x14ac:dyDescent="0.25">
      <c r="A1932"/>
      <c r="B1932"/>
    </row>
    <row r="1933" spans="1:2" x14ac:dyDescent="0.25">
      <c r="A1933"/>
      <c r="B1933"/>
    </row>
    <row r="1934" spans="1:2" x14ac:dyDescent="0.25">
      <c r="A1934"/>
      <c r="B1934"/>
    </row>
    <row r="1935" spans="1:2" x14ac:dyDescent="0.25">
      <c r="A1935"/>
      <c r="B1935"/>
    </row>
    <row r="1936" spans="1:2" x14ac:dyDescent="0.25">
      <c r="A1936"/>
      <c r="B1936"/>
    </row>
    <row r="1937" spans="1:2" x14ac:dyDescent="0.25">
      <c r="A1937"/>
      <c r="B1937"/>
    </row>
    <row r="1938" spans="1:2" x14ac:dyDescent="0.25">
      <c r="A1938"/>
      <c r="B1938"/>
    </row>
    <row r="1939" spans="1:2" x14ac:dyDescent="0.25">
      <c r="A1939"/>
      <c r="B1939"/>
    </row>
    <row r="1940" spans="1:2" x14ac:dyDescent="0.25">
      <c r="A1940"/>
      <c r="B1940"/>
    </row>
    <row r="1941" spans="1:2" x14ac:dyDescent="0.25">
      <c r="A1941"/>
      <c r="B1941"/>
    </row>
    <row r="1942" spans="1:2" x14ac:dyDescent="0.25">
      <c r="A1942"/>
      <c r="B1942"/>
    </row>
    <row r="1943" spans="1:2" x14ac:dyDescent="0.25">
      <c r="A1943"/>
      <c r="B1943"/>
    </row>
    <row r="1944" spans="1:2" x14ac:dyDescent="0.25">
      <c r="A1944"/>
      <c r="B1944"/>
    </row>
    <row r="1945" spans="1:2" x14ac:dyDescent="0.25">
      <c r="A1945"/>
      <c r="B1945"/>
    </row>
    <row r="1946" spans="1:2" x14ac:dyDescent="0.25">
      <c r="A1946"/>
      <c r="B1946"/>
    </row>
    <row r="1947" spans="1:2" x14ac:dyDescent="0.25">
      <c r="A1947"/>
      <c r="B1947"/>
    </row>
    <row r="1948" spans="1:2" x14ac:dyDescent="0.25">
      <c r="A1948"/>
      <c r="B1948"/>
    </row>
    <row r="1949" spans="1:2" x14ac:dyDescent="0.25">
      <c r="A1949"/>
      <c r="B1949"/>
    </row>
    <row r="1950" spans="1:2" x14ac:dyDescent="0.25">
      <c r="A1950"/>
      <c r="B1950"/>
    </row>
    <row r="1951" spans="1:2" x14ac:dyDescent="0.25">
      <c r="A1951"/>
      <c r="B1951"/>
    </row>
    <row r="1952" spans="1:2" x14ac:dyDescent="0.25">
      <c r="A1952"/>
      <c r="B1952"/>
    </row>
    <row r="1953" spans="1:2" x14ac:dyDescent="0.25">
      <c r="A1953"/>
      <c r="B1953"/>
    </row>
    <row r="1954" spans="1:2" x14ac:dyDescent="0.25">
      <c r="A1954"/>
      <c r="B1954"/>
    </row>
    <row r="1955" spans="1:2" x14ac:dyDescent="0.25">
      <c r="A1955"/>
      <c r="B1955"/>
    </row>
    <row r="1956" spans="1:2" x14ac:dyDescent="0.25">
      <c r="A1956"/>
      <c r="B1956"/>
    </row>
    <row r="1957" spans="1:2" x14ac:dyDescent="0.25">
      <c r="A1957"/>
      <c r="B1957"/>
    </row>
    <row r="1958" spans="1:2" x14ac:dyDescent="0.25">
      <c r="A1958"/>
      <c r="B1958"/>
    </row>
    <row r="1959" spans="1:2" x14ac:dyDescent="0.25">
      <c r="A1959"/>
      <c r="B1959"/>
    </row>
    <row r="1960" spans="1:2" x14ac:dyDescent="0.25">
      <c r="A1960"/>
      <c r="B1960"/>
    </row>
    <row r="1961" spans="1:2" x14ac:dyDescent="0.25">
      <c r="A1961"/>
      <c r="B1961"/>
    </row>
    <row r="1962" spans="1:2" x14ac:dyDescent="0.25">
      <c r="A1962"/>
      <c r="B1962"/>
    </row>
    <row r="1963" spans="1:2" x14ac:dyDescent="0.25">
      <c r="A1963"/>
      <c r="B1963"/>
    </row>
    <row r="1964" spans="1:2" x14ac:dyDescent="0.25">
      <c r="A1964"/>
      <c r="B1964"/>
    </row>
    <row r="1965" spans="1:2" x14ac:dyDescent="0.25">
      <c r="A1965"/>
      <c r="B1965"/>
    </row>
    <row r="1966" spans="1:2" x14ac:dyDescent="0.25">
      <c r="A1966"/>
      <c r="B1966"/>
    </row>
    <row r="1967" spans="1:2" x14ac:dyDescent="0.25">
      <c r="A1967"/>
      <c r="B1967"/>
    </row>
    <row r="1968" spans="1:2" x14ac:dyDescent="0.25">
      <c r="A1968"/>
      <c r="B1968"/>
    </row>
    <row r="1969" spans="1:2" x14ac:dyDescent="0.25">
      <c r="A1969"/>
      <c r="B1969"/>
    </row>
    <row r="1970" spans="1:2" x14ac:dyDescent="0.25">
      <c r="A1970"/>
      <c r="B1970"/>
    </row>
    <row r="1971" spans="1:2" x14ac:dyDescent="0.25">
      <c r="A1971"/>
      <c r="B1971"/>
    </row>
    <row r="1972" spans="1:2" x14ac:dyDescent="0.25">
      <c r="A1972"/>
      <c r="B1972"/>
    </row>
    <row r="1973" spans="1:2" x14ac:dyDescent="0.25">
      <c r="A1973"/>
      <c r="B1973"/>
    </row>
    <row r="1974" spans="1:2" x14ac:dyDescent="0.25">
      <c r="A1974"/>
      <c r="B1974"/>
    </row>
    <row r="1975" spans="1:2" x14ac:dyDescent="0.25">
      <c r="A1975"/>
      <c r="B1975"/>
    </row>
    <row r="1976" spans="1:2" x14ac:dyDescent="0.25">
      <c r="A1976"/>
      <c r="B1976"/>
    </row>
    <row r="1977" spans="1:2" x14ac:dyDescent="0.25">
      <c r="A1977"/>
      <c r="B1977"/>
    </row>
    <row r="1978" spans="1:2" x14ac:dyDescent="0.25">
      <c r="A1978"/>
      <c r="B1978"/>
    </row>
    <row r="1979" spans="1:2" x14ac:dyDescent="0.25">
      <c r="A1979"/>
      <c r="B1979"/>
    </row>
    <row r="1980" spans="1:2" x14ac:dyDescent="0.25">
      <c r="A1980"/>
      <c r="B1980"/>
    </row>
    <row r="1981" spans="1:2" x14ac:dyDescent="0.25">
      <c r="A1981"/>
      <c r="B1981"/>
    </row>
    <row r="1982" spans="1:2" x14ac:dyDescent="0.25">
      <c r="A1982"/>
      <c r="B1982"/>
    </row>
    <row r="1983" spans="1:2" x14ac:dyDescent="0.25">
      <c r="A1983"/>
      <c r="B1983"/>
    </row>
    <row r="1984" spans="1:2" x14ac:dyDescent="0.25">
      <c r="A1984"/>
      <c r="B1984"/>
    </row>
    <row r="1985" spans="1:2" x14ac:dyDescent="0.25">
      <c r="A1985"/>
      <c r="B1985"/>
    </row>
    <row r="1986" spans="1:2" x14ac:dyDescent="0.25">
      <c r="A1986"/>
      <c r="B1986"/>
    </row>
    <row r="1987" spans="1:2" x14ac:dyDescent="0.25">
      <c r="A1987"/>
      <c r="B1987"/>
    </row>
    <row r="1988" spans="1:2" x14ac:dyDescent="0.25">
      <c r="A1988"/>
      <c r="B1988"/>
    </row>
    <row r="1989" spans="1:2" x14ac:dyDescent="0.25">
      <c r="A1989"/>
      <c r="B1989"/>
    </row>
    <row r="1990" spans="1:2" x14ac:dyDescent="0.25">
      <c r="A1990"/>
      <c r="B1990"/>
    </row>
    <row r="1991" spans="1:2" x14ac:dyDescent="0.25">
      <c r="A1991"/>
      <c r="B1991"/>
    </row>
    <row r="1992" spans="1:2" x14ac:dyDescent="0.25">
      <c r="A1992"/>
      <c r="B1992"/>
    </row>
    <row r="1993" spans="1:2" x14ac:dyDescent="0.25">
      <c r="A1993"/>
      <c r="B1993"/>
    </row>
    <row r="1994" spans="1:2" x14ac:dyDescent="0.25">
      <c r="A1994"/>
      <c r="B1994"/>
    </row>
    <row r="1995" spans="1:2" x14ac:dyDescent="0.25">
      <c r="A1995"/>
      <c r="B1995"/>
    </row>
    <row r="1996" spans="1:2" x14ac:dyDescent="0.25">
      <c r="A1996"/>
      <c r="B1996"/>
    </row>
    <row r="1997" spans="1:2" x14ac:dyDescent="0.25">
      <c r="A1997"/>
      <c r="B1997"/>
    </row>
    <row r="1998" spans="1:2" x14ac:dyDescent="0.25">
      <c r="A1998"/>
      <c r="B1998"/>
    </row>
    <row r="1999" spans="1:2" x14ac:dyDescent="0.25">
      <c r="A1999"/>
      <c r="B1999"/>
    </row>
    <row r="2000" spans="1:2" x14ac:dyDescent="0.25">
      <c r="A2000"/>
      <c r="B2000"/>
    </row>
    <row r="2001" spans="1:2" x14ac:dyDescent="0.25">
      <c r="A2001"/>
      <c r="B2001"/>
    </row>
    <row r="2002" spans="1:2" x14ac:dyDescent="0.25">
      <c r="A2002"/>
      <c r="B2002"/>
    </row>
    <row r="2003" spans="1:2" x14ac:dyDescent="0.25">
      <c r="A2003"/>
      <c r="B2003"/>
    </row>
    <row r="2004" spans="1:2" x14ac:dyDescent="0.25">
      <c r="A2004"/>
      <c r="B2004"/>
    </row>
    <row r="2005" spans="1:2" x14ac:dyDescent="0.25">
      <c r="A2005"/>
      <c r="B2005"/>
    </row>
    <row r="2006" spans="1:2" x14ac:dyDescent="0.25">
      <c r="A2006"/>
      <c r="B2006"/>
    </row>
    <row r="2007" spans="1:2" x14ac:dyDescent="0.25">
      <c r="A2007"/>
      <c r="B2007"/>
    </row>
    <row r="2008" spans="1:2" x14ac:dyDescent="0.25">
      <c r="A2008"/>
      <c r="B2008"/>
    </row>
    <row r="2009" spans="1:2" x14ac:dyDescent="0.25">
      <c r="A2009"/>
      <c r="B2009"/>
    </row>
    <row r="2010" spans="1:2" x14ac:dyDescent="0.25">
      <c r="A2010"/>
      <c r="B2010"/>
    </row>
    <row r="2011" spans="1:2" x14ac:dyDescent="0.25">
      <c r="A2011"/>
      <c r="B2011"/>
    </row>
    <row r="2012" spans="1:2" x14ac:dyDescent="0.25">
      <c r="A2012"/>
      <c r="B2012"/>
    </row>
    <row r="2013" spans="1:2" x14ac:dyDescent="0.25">
      <c r="A2013"/>
      <c r="B2013"/>
    </row>
    <row r="2014" spans="1:2" x14ac:dyDescent="0.25">
      <c r="A2014"/>
      <c r="B2014"/>
    </row>
    <row r="2015" spans="1:2" x14ac:dyDescent="0.25">
      <c r="A2015"/>
      <c r="B2015"/>
    </row>
    <row r="2016" spans="1:2" x14ac:dyDescent="0.25">
      <c r="A2016"/>
      <c r="B2016"/>
    </row>
    <row r="2017" spans="1:2" x14ac:dyDescent="0.25">
      <c r="A2017"/>
      <c r="B2017"/>
    </row>
    <row r="2018" spans="1:2" x14ac:dyDescent="0.25">
      <c r="A2018"/>
      <c r="B2018"/>
    </row>
    <row r="2019" spans="1:2" x14ac:dyDescent="0.25">
      <c r="A2019"/>
      <c r="B2019"/>
    </row>
    <row r="2020" spans="1:2" x14ac:dyDescent="0.25">
      <c r="A2020"/>
      <c r="B2020"/>
    </row>
    <row r="2021" spans="1:2" x14ac:dyDescent="0.25">
      <c r="A2021"/>
      <c r="B2021"/>
    </row>
    <row r="2022" spans="1:2" x14ac:dyDescent="0.25">
      <c r="A2022"/>
      <c r="B2022"/>
    </row>
    <row r="2023" spans="1:2" x14ac:dyDescent="0.25">
      <c r="A2023"/>
      <c r="B2023"/>
    </row>
    <row r="2024" spans="1:2" x14ac:dyDescent="0.25">
      <c r="A2024"/>
      <c r="B2024"/>
    </row>
    <row r="2025" spans="1:2" x14ac:dyDescent="0.25">
      <c r="A2025"/>
      <c r="B2025"/>
    </row>
    <row r="2026" spans="1:2" x14ac:dyDescent="0.25">
      <c r="A2026"/>
      <c r="B2026"/>
    </row>
    <row r="2027" spans="1:2" x14ac:dyDescent="0.25">
      <c r="A2027"/>
      <c r="B2027"/>
    </row>
    <row r="2028" spans="1:2" x14ac:dyDescent="0.25">
      <c r="A2028"/>
      <c r="B2028"/>
    </row>
    <row r="2029" spans="1:2" x14ac:dyDescent="0.25">
      <c r="A2029"/>
      <c r="B2029"/>
    </row>
    <row r="2030" spans="1:2" x14ac:dyDescent="0.25">
      <c r="A2030"/>
      <c r="B2030"/>
    </row>
    <row r="2031" spans="1:2" x14ac:dyDescent="0.25">
      <c r="A2031"/>
      <c r="B2031"/>
    </row>
    <row r="2032" spans="1:2" x14ac:dyDescent="0.25">
      <c r="A2032"/>
      <c r="B2032"/>
    </row>
    <row r="2033" spans="1:2" x14ac:dyDescent="0.25">
      <c r="A2033"/>
      <c r="B2033"/>
    </row>
    <row r="2034" spans="1:2" x14ac:dyDescent="0.25">
      <c r="A2034"/>
      <c r="B2034"/>
    </row>
    <row r="2035" spans="1:2" x14ac:dyDescent="0.25">
      <c r="A2035"/>
      <c r="B2035"/>
    </row>
    <row r="2036" spans="1:2" x14ac:dyDescent="0.25">
      <c r="A2036"/>
      <c r="B2036"/>
    </row>
    <row r="2037" spans="1:2" x14ac:dyDescent="0.25">
      <c r="A2037"/>
      <c r="B2037"/>
    </row>
    <row r="2038" spans="1:2" x14ac:dyDescent="0.25">
      <c r="A2038"/>
      <c r="B2038"/>
    </row>
    <row r="2039" spans="1:2" x14ac:dyDescent="0.25">
      <c r="A2039"/>
      <c r="B2039"/>
    </row>
    <row r="2040" spans="1:2" x14ac:dyDescent="0.25">
      <c r="A2040"/>
      <c r="B2040"/>
    </row>
    <row r="2041" spans="1:2" x14ac:dyDescent="0.25">
      <c r="A2041"/>
      <c r="B2041"/>
    </row>
    <row r="2042" spans="1:2" x14ac:dyDescent="0.25">
      <c r="A2042"/>
      <c r="B2042"/>
    </row>
    <row r="2043" spans="1:2" x14ac:dyDescent="0.25">
      <c r="A2043"/>
      <c r="B2043"/>
    </row>
    <row r="2044" spans="1:2" x14ac:dyDescent="0.25">
      <c r="A2044"/>
      <c r="B2044"/>
    </row>
    <row r="2045" spans="1:2" x14ac:dyDescent="0.25">
      <c r="A2045"/>
      <c r="B2045"/>
    </row>
    <row r="2046" spans="1:2" x14ac:dyDescent="0.25">
      <c r="A2046"/>
      <c r="B2046"/>
    </row>
    <row r="2047" spans="1:2" x14ac:dyDescent="0.25">
      <c r="A2047"/>
      <c r="B2047"/>
    </row>
    <row r="2048" spans="1:2" x14ac:dyDescent="0.25">
      <c r="A2048"/>
      <c r="B2048"/>
    </row>
    <row r="2049" spans="1:2" x14ac:dyDescent="0.25">
      <c r="A2049"/>
      <c r="B2049"/>
    </row>
    <row r="2050" spans="1:2" x14ac:dyDescent="0.25">
      <c r="A2050"/>
      <c r="B2050"/>
    </row>
    <row r="2051" spans="1:2" x14ac:dyDescent="0.25">
      <c r="A2051"/>
      <c r="B2051"/>
    </row>
    <row r="2052" spans="1:2" x14ac:dyDescent="0.25">
      <c r="A2052"/>
      <c r="B2052"/>
    </row>
    <row r="2053" spans="1:2" x14ac:dyDescent="0.25">
      <c r="A2053"/>
      <c r="B2053"/>
    </row>
    <row r="2054" spans="1:2" x14ac:dyDescent="0.25">
      <c r="A2054"/>
      <c r="B2054"/>
    </row>
    <row r="2055" spans="1:2" x14ac:dyDescent="0.25">
      <c r="A2055"/>
      <c r="B2055"/>
    </row>
    <row r="2056" spans="1:2" x14ac:dyDescent="0.25">
      <c r="A2056"/>
      <c r="B2056"/>
    </row>
    <row r="2057" spans="1:2" x14ac:dyDescent="0.25">
      <c r="A2057"/>
      <c r="B2057"/>
    </row>
    <row r="2058" spans="1:2" x14ac:dyDescent="0.25">
      <c r="A2058"/>
      <c r="B2058"/>
    </row>
    <row r="2059" spans="1:2" x14ac:dyDescent="0.25">
      <c r="A2059"/>
      <c r="B2059"/>
    </row>
    <row r="2060" spans="1:2" x14ac:dyDescent="0.25">
      <c r="A2060"/>
      <c r="B2060"/>
    </row>
    <row r="2061" spans="1:2" x14ac:dyDescent="0.25">
      <c r="A2061"/>
      <c r="B2061"/>
    </row>
    <row r="2062" spans="1:2" x14ac:dyDescent="0.25">
      <c r="A2062"/>
      <c r="B2062"/>
    </row>
    <row r="2063" spans="1:2" x14ac:dyDescent="0.25">
      <c r="A2063"/>
      <c r="B2063"/>
    </row>
    <row r="2064" spans="1:2" x14ac:dyDescent="0.25">
      <c r="A2064"/>
      <c r="B2064"/>
    </row>
    <row r="2065" spans="1:2" x14ac:dyDescent="0.25">
      <c r="A2065"/>
      <c r="B2065"/>
    </row>
    <row r="2066" spans="1:2" x14ac:dyDescent="0.25">
      <c r="A2066"/>
      <c r="B2066"/>
    </row>
    <row r="2067" spans="1:2" x14ac:dyDescent="0.25">
      <c r="A2067"/>
      <c r="B2067"/>
    </row>
    <row r="2068" spans="1:2" x14ac:dyDescent="0.25">
      <c r="A2068"/>
      <c r="B2068"/>
    </row>
    <row r="2069" spans="1:2" x14ac:dyDescent="0.25">
      <c r="A2069"/>
      <c r="B2069"/>
    </row>
    <row r="2070" spans="1:2" x14ac:dyDescent="0.25">
      <c r="A2070"/>
      <c r="B2070"/>
    </row>
    <row r="2071" spans="1:2" x14ac:dyDescent="0.25">
      <c r="A2071"/>
      <c r="B2071"/>
    </row>
    <row r="2072" spans="1:2" x14ac:dyDescent="0.25">
      <c r="A2072"/>
      <c r="B2072"/>
    </row>
    <row r="2073" spans="1:2" x14ac:dyDescent="0.25">
      <c r="A2073"/>
      <c r="B2073"/>
    </row>
    <row r="2074" spans="1:2" x14ac:dyDescent="0.25">
      <c r="A2074"/>
      <c r="B2074"/>
    </row>
    <row r="2075" spans="1:2" x14ac:dyDescent="0.25">
      <c r="A2075"/>
      <c r="B2075"/>
    </row>
    <row r="2076" spans="1:2" x14ac:dyDescent="0.25">
      <c r="A2076"/>
      <c r="B2076"/>
    </row>
    <row r="2077" spans="1:2" x14ac:dyDescent="0.25">
      <c r="A2077"/>
      <c r="B2077"/>
    </row>
    <row r="2078" spans="1:2" x14ac:dyDescent="0.25">
      <c r="A2078"/>
      <c r="B2078"/>
    </row>
    <row r="2079" spans="1:2" x14ac:dyDescent="0.25">
      <c r="A2079"/>
      <c r="B2079"/>
    </row>
    <row r="2080" spans="1:2" x14ac:dyDescent="0.25">
      <c r="A2080"/>
      <c r="B2080"/>
    </row>
    <row r="2081" spans="1:2" x14ac:dyDescent="0.25">
      <c r="A2081"/>
      <c r="B2081"/>
    </row>
    <row r="2082" spans="1:2" x14ac:dyDescent="0.25">
      <c r="A2082"/>
      <c r="B2082"/>
    </row>
    <row r="2083" spans="1:2" x14ac:dyDescent="0.25">
      <c r="A2083"/>
      <c r="B2083"/>
    </row>
    <row r="2084" spans="1:2" x14ac:dyDescent="0.25">
      <c r="A2084"/>
      <c r="B2084"/>
    </row>
    <row r="2085" spans="1:2" x14ac:dyDescent="0.25">
      <c r="A2085"/>
      <c r="B2085"/>
    </row>
    <row r="2086" spans="1:2" x14ac:dyDescent="0.25">
      <c r="A2086"/>
      <c r="B2086"/>
    </row>
    <row r="2087" spans="1:2" x14ac:dyDescent="0.25">
      <c r="A2087"/>
      <c r="B2087"/>
    </row>
    <row r="2088" spans="1:2" x14ac:dyDescent="0.25">
      <c r="A2088"/>
      <c r="B2088"/>
    </row>
    <row r="2089" spans="1:2" x14ac:dyDescent="0.25">
      <c r="A2089"/>
      <c r="B2089"/>
    </row>
    <row r="2090" spans="1:2" x14ac:dyDescent="0.25">
      <c r="A2090"/>
      <c r="B2090"/>
    </row>
    <row r="2091" spans="1:2" x14ac:dyDescent="0.25">
      <c r="A2091"/>
      <c r="B2091"/>
    </row>
    <row r="2092" spans="1:2" x14ac:dyDescent="0.25">
      <c r="A2092"/>
      <c r="B2092"/>
    </row>
    <row r="2093" spans="1:2" x14ac:dyDescent="0.25">
      <c r="A2093"/>
      <c r="B2093"/>
    </row>
    <row r="2094" spans="1:2" x14ac:dyDescent="0.25">
      <c r="A2094"/>
      <c r="B2094"/>
    </row>
    <row r="2095" spans="1:2" x14ac:dyDescent="0.25">
      <c r="A2095"/>
      <c r="B2095"/>
    </row>
    <row r="2096" spans="1:2" x14ac:dyDescent="0.25">
      <c r="A2096"/>
      <c r="B2096"/>
    </row>
    <row r="2097" spans="1:2" x14ac:dyDescent="0.25">
      <c r="A2097"/>
      <c r="B2097"/>
    </row>
    <row r="2098" spans="1:2" x14ac:dyDescent="0.25">
      <c r="A2098"/>
      <c r="B2098"/>
    </row>
    <row r="2099" spans="1:2" x14ac:dyDescent="0.25">
      <c r="A2099"/>
      <c r="B2099"/>
    </row>
    <row r="2100" spans="1:2" x14ac:dyDescent="0.25">
      <c r="A2100"/>
      <c r="B2100"/>
    </row>
    <row r="2101" spans="1:2" x14ac:dyDescent="0.25">
      <c r="A2101"/>
      <c r="B2101"/>
    </row>
    <row r="2102" spans="1:2" x14ac:dyDescent="0.25">
      <c r="A2102"/>
      <c r="B2102"/>
    </row>
    <row r="2103" spans="1:2" x14ac:dyDescent="0.25">
      <c r="A2103"/>
      <c r="B2103"/>
    </row>
    <row r="2104" spans="1:2" x14ac:dyDescent="0.25">
      <c r="A2104"/>
      <c r="B2104"/>
    </row>
    <row r="2105" spans="1:2" x14ac:dyDescent="0.25">
      <c r="A2105"/>
      <c r="B2105"/>
    </row>
    <row r="2106" spans="1:2" x14ac:dyDescent="0.25">
      <c r="A2106"/>
      <c r="B2106"/>
    </row>
    <row r="2107" spans="1:2" x14ac:dyDescent="0.25">
      <c r="A2107"/>
      <c r="B2107"/>
    </row>
    <row r="2108" spans="1:2" x14ac:dyDescent="0.25">
      <c r="A2108"/>
      <c r="B2108"/>
    </row>
    <row r="2109" spans="1:2" x14ac:dyDescent="0.25">
      <c r="A2109"/>
      <c r="B2109"/>
    </row>
    <row r="2110" spans="1:2" x14ac:dyDescent="0.25">
      <c r="A2110"/>
      <c r="B2110"/>
    </row>
    <row r="2111" spans="1:2" x14ac:dyDescent="0.25">
      <c r="A2111"/>
      <c r="B2111"/>
    </row>
    <row r="2112" spans="1:2" x14ac:dyDescent="0.25">
      <c r="A2112"/>
      <c r="B2112"/>
    </row>
    <row r="2113" spans="1:2" x14ac:dyDescent="0.25">
      <c r="A2113"/>
      <c r="B2113"/>
    </row>
    <row r="2114" spans="1:2" x14ac:dyDescent="0.25">
      <c r="A2114"/>
      <c r="B2114"/>
    </row>
    <row r="2115" spans="1:2" x14ac:dyDescent="0.25">
      <c r="A2115"/>
      <c r="B2115"/>
    </row>
    <row r="2116" spans="1:2" x14ac:dyDescent="0.25">
      <c r="A2116"/>
      <c r="B2116"/>
    </row>
    <row r="2117" spans="1:2" x14ac:dyDescent="0.25">
      <c r="A2117"/>
      <c r="B2117"/>
    </row>
    <row r="2118" spans="1:2" x14ac:dyDescent="0.25">
      <c r="A2118"/>
      <c r="B2118"/>
    </row>
    <row r="2119" spans="1:2" x14ac:dyDescent="0.25">
      <c r="A2119"/>
      <c r="B2119"/>
    </row>
    <row r="2120" spans="1:2" x14ac:dyDescent="0.25">
      <c r="A2120"/>
      <c r="B2120"/>
    </row>
    <row r="2121" spans="1:2" x14ac:dyDescent="0.25">
      <c r="A2121"/>
      <c r="B2121"/>
    </row>
    <row r="2122" spans="1:2" x14ac:dyDescent="0.25">
      <c r="A2122"/>
      <c r="B2122"/>
    </row>
    <row r="2123" spans="1:2" x14ac:dyDescent="0.25">
      <c r="A2123"/>
      <c r="B2123"/>
    </row>
    <row r="2124" spans="1:2" x14ac:dyDescent="0.25">
      <c r="A2124"/>
      <c r="B2124"/>
    </row>
    <row r="2125" spans="1:2" x14ac:dyDescent="0.25">
      <c r="A2125"/>
      <c r="B2125"/>
    </row>
    <row r="2126" spans="1:2" x14ac:dyDescent="0.25">
      <c r="A2126"/>
      <c r="B2126"/>
    </row>
    <row r="2127" spans="1:2" x14ac:dyDescent="0.25">
      <c r="A2127"/>
      <c r="B2127"/>
    </row>
    <row r="2128" spans="1:2" x14ac:dyDescent="0.25">
      <c r="A2128"/>
      <c r="B2128"/>
    </row>
    <row r="2129" spans="1:2" x14ac:dyDescent="0.25">
      <c r="A2129"/>
      <c r="B2129"/>
    </row>
    <row r="2130" spans="1:2" x14ac:dyDescent="0.25">
      <c r="A2130"/>
      <c r="B2130"/>
    </row>
    <row r="2131" spans="1:2" x14ac:dyDescent="0.25">
      <c r="A2131"/>
      <c r="B2131"/>
    </row>
    <row r="2132" spans="1:2" x14ac:dyDescent="0.25">
      <c r="A2132"/>
      <c r="B2132"/>
    </row>
    <row r="2133" spans="1:2" x14ac:dyDescent="0.25">
      <c r="A2133"/>
      <c r="B2133"/>
    </row>
    <row r="2134" spans="1:2" x14ac:dyDescent="0.25">
      <c r="A2134"/>
      <c r="B2134"/>
    </row>
    <row r="2135" spans="1:2" x14ac:dyDescent="0.25">
      <c r="A2135"/>
      <c r="B2135"/>
    </row>
    <row r="2136" spans="1:2" x14ac:dyDescent="0.25">
      <c r="A2136"/>
      <c r="B2136"/>
    </row>
    <row r="2137" spans="1:2" x14ac:dyDescent="0.25">
      <c r="A2137"/>
      <c r="B2137"/>
    </row>
    <row r="2138" spans="1:2" x14ac:dyDescent="0.25">
      <c r="A2138"/>
      <c r="B2138"/>
    </row>
    <row r="2139" spans="1:2" x14ac:dyDescent="0.25">
      <c r="A2139"/>
      <c r="B2139"/>
    </row>
    <row r="2140" spans="1:2" x14ac:dyDescent="0.25">
      <c r="A2140"/>
      <c r="B2140"/>
    </row>
    <row r="2141" spans="1:2" x14ac:dyDescent="0.25">
      <c r="A2141"/>
      <c r="B2141"/>
    </row>
    <row r="2142" spans="1:2" x14ac:dyDescent="0.25">
      <c r="A2142"/>
      <c r="B2142"/>
    </row>
    <row r="2143" spans="1:2" x14ac:dyDescent="0.25">
      <c r="A2143"/>
      <c r="B2143"/>
    </row>
    <row r="2144" spans="1:2" x14ac:dyDescent="0.25">
      <c r="A2144"/>
      <c r="B2144"/>
    </row>
    <row r="2145" spans="1:2" x14ac:dyDescent="0.25">
      <c r="A2145"/>
      <c r="B2145"/>
    </row>
    <row r="2146" spans="1:2" x14ac:dyDescent="0.25">
      <c r="A2146"/>
      <c r="B2146"/>
    </row>
    <row r="2147" spans="1:2" x14ac:dyDescent="0.25">
      <c r="A2147"/>
      <c r="B2147"/>
    </row>
    <row r="2148" spans="1:2" x14ac:dyDescent="0.25">
      <c r="A2148"/>
      <c r="B2148"/>
    </row>
    <row r="2149" spans="1:2" x14ac:dyDescent="0.25">
      <c r="A2149"/>
      <c r="B2149"/>
    </row>
    <row r="2150" spans="1:2" x14ac:dyDescent="0.25">
      <c r="A2150"/>
      <c r="B2150"/>
    </row>
    <row r="2151" spans="1:2" x14ac:dyDescent="0.25">
      <c r="A2151"/>
      <c r="B2151"/>
    </row>
    <row r="2152" spans="1:2" x14ac:dyDescent="0.25">
      <c r="A2152"/>
      <c r="B2152"/>
    </row>
    <row r="2153" spans="1:2" x14ac:dyDescent="0.25">
      <c r="A2153"/>
      <c r="B2153"/>
    </row>
    <row r="2154" spans="1:2" x14ac:dyDescent="0.25">
      <c r="A2154"/>
      <c r="B2154"/>
    </row>
    <row r="2155" spans="1:2" x14ac:dyDescent="0.25">
      <c r="A2155"/>
      <c r="B2155"/>
    </row>
    <row r="2156" spans="1:2" x14ac:dyDescent="0.25">
      <c r="A2156"/>
      <c r="B2156"/>
    </row>
    <row r="2157" spans="1:2" x14ac:dyDescent="0.25">
      <c r="A2157"/>
      <c r="B2157"/>
    </row>
    <row r="2158" spans="1:2" x14ac:dyDescent="0.25">
      <c r="A2158"/>
      <c r="B2158"/>
    </row>
    <row r="2159" spans="1:2" x14ac:dyDescent="0.25">
      <c r="A2159"/>
      <c r="B2159"/>
    </row>
    <row r="2160" spans="1:2" x14ac:dyDescent="0.25">
      <c r="A2160"/>
      <c r="B2160"/>
    </row>
    <row r="2161" spans="1:2" x14ac:dyDescent="0.25">
      <c r="A2161"/>
      <c r="B2161"/>
    </row>
    <row r="2162" spans="1:2" x14ac:dyDescent="0.25">
      <c r="A2162"/>
      <c r="B2162"/>
    </row>
    <row r="2163" spans="1:2" x14ac:dyDescent="0.25">
      <c r="A2163"/>
      <c r="B2163"/>
    </row>
    <row r="2164" spans="1:2" x14ac:dyDescent="0.25">
      <c r="A2164"/>
      <c r="B2164"/>
    </row>
    <row r="2165" spans="1:2" x14ac:dyDescent="0.25">
      <c r="A2165"/>
      <c r="B2165"/>
    </row>
    <row r="2166" spans="1:2" x14ac:dyDescent="0.25">
      <c r="A2166"/>
      <c r="B2166"/>
    </row>
    <row r="2167" spans="1:2" x14ac:dyDescent="0.25">
      <c r="A2167"/>
      <c r="B2167"/>
    </row>
    <row r="2168" spans="1:2" x14ac:dyDescent="0.25">
      <c r="A2168"/>
      <c r="B2168"/>
    </row>
    <row r="2169" spans="1:2" x14ac:dyDescent="0.25">
      <c r="A2169"/>
      <c r="B2169"/>
    </row>
    <row r="2170" spans="1:2" x14ac:dyDescent="0.25">
      <c r="A2170"/>
      <c r="B2170"/>
    </row>
    <row r="2171" spans="1:2" x14ac:dyDescent="0.25">
      <c r="A2171"/>
      <c r="B2171"/>
    </row>
    <row r="2172" spans="1:2" x14ac:dyDescent="0.25">
      <c r="A2172"/>
      <c r="B2172"/>
    </row>
    <row r="2173" spans="1:2" x14ac:dyDescent="0.25">
      <c r="A2173"/>
      <c r="B2173"/>
    </row>
    <row r="2174" spans="1:2" x14ac:dyDescent="0.25">
      <c r="A2174"/>
      <c r="B2174"/>
    </row>
    <row r="2175" spans="1:2" x14ac:dyDescent="0.25">
      <c r="A2175"/>
      <c r="B2175"/>
    </row>
    <row r="2176" spans="1:2" x14ac:dyDescent="0.25">
      <c r="A2176"/>
      <c r="B2176"/>
    </row>
    <row r="2177" spans="1:2" x14ac:dyDescent="0.25">
      <c r="A2177"/>
      <c r="B2177"/>
    </row>
    <row r="2178" spans="1:2" x14ac:dyDescent="0.25">
      <c r="A2178"/>
      <c r="B2178"/>
    </row>
    <row r="2179" spans="1:2" x14ac:dyDescent="0.25">
      <c r="A2179"/>
      <c r="B2179"/>
    </row>
    <row r="2180" spans="1:2" x14ac:dyDescent="0.25">
      <c r="A2180"/>
      <c r="B2180"/>
    </row>
    <row r="2181" spans="1:2" x14ac:dyDescent="0.25">
      <c r="A2181"/>
      <c r="B2181"/>
    </row>
    <row r="2182" spans="1:2" x14ac:dyDescent="0.25">
      <c r="A2182"/>
      <c r="B2182"/>
    </row>
    <row r="2183" spans="1:2" x14ac:dyDescent="0.25">
      <c r="A2183"/>
      <c r="B2183"/>
    </row>
    <row r="2184" spans="1:2" x14ac:dyDescent="0.25">
      <c r="A2184"/>
      <c r="B2184"/>
    </row>
    <row r="2185" spans="1:2" x14ac:dyDescent="0.25">
      <c r="A2185"/>
      <c r="B2185"/>
    </row>
    <row r="2186" spans="1:2" x14ac:dyDescent="0.25">
      <c r="A2186"/>
      <c r="B2186"/>
    </row>
    <row r="2187" spans="1:2" x14ac:dyDescent="0.25">
      <c r="A2187"/>
      <c r="B2187"/>
    </row>
    <row r="2188" spans="1:2" x14ac:dyDescent="0.25">
      <c r="A2188"/>
      <c r="B2188"/>
    </row>
    <row r="2189" spans="1:2" x14ac:dyDescent="0.25">
      <c r="A2189"/>
      <c r="B2189"/>
    </row>
    <row r="2190" spans="1:2" x14ac:dyDescent="0.25">
      <c r="A2190"/>
      <c r="B2190"/>
    </row>
    <row r="2191" spans="1:2" x14ac:dyDescent="0.25">
      <c r="A2191"/>
      <c r="B2191"/>
    </row>
    <row r="2192" spans="1:2" x14ac:dyDescent="0.25">
      <c r="A2192"/>
      <c r="B2192"/>
    </row>
    <row r="2193" spans="1:2" x14ac:dyDescent="0.25">
      <c r="A2193"/>
      <c r="B2193"/>
    </row>
    <row r="2194" spans="1:2" x14ac:dyDescent="0.25">
      <c r="A2194"/>
      <c r="B2194"/>
    </row>
    <row r="2195" spans="1:2" x14ac:dyDescent="0.25">
      <c r="A2195"/>
      <c r="B2195"/>
    </row>
    <row r="2196" spans="1:2" x14ac:dyDescent="0.25">
      <c r="A2196"/>
      <c r="B2196"/>
    </row>
    <row r="2197" spans="1:2" x14ac:dyDescent="0.25">
      <c r="A2197"/>
      <c r="B2197"/>
    </row>
    <row r="2198" spans="1:2" x14ac:dyDescent="0.25">
      <c r="A2198"/>
      <c r="B2198"/>
    </row>
    <row r="2199" spans="1:2" x14ac:dyDescent="0.25">
      <c r="A2199"/>
      <c r="B2199"/>
    </row>
    <row r="2200" spans="1:2" x14ac:dyDescent="0.25">
      <c r="A2200"/>
      <c r="B2200"/>
    </row>
    <row r="2201" spans="1:2" x14ac:dyDescent="0.25">
      <c r="A2201"/>
      <c r="B2201"/>
    </row>
    <row r="2202" spans="1:2" x14ac:dyDescent="0.25">
      <c r="A2202"/>
      <c r="B2202"/>
    </row>
    <row r="2203" spans="1:2" x14ac:dyDescent="0.25">
      <c r="A2203"/>
      <c r="B2203"/>
    </row>
    <row r="2204" spans="1:2" x14ac:dyDescent="0.25">
      <c r="A2204"/>
      <c r="B2204"/>
    </row>
    <row r="2205" spans="1:2" x14ac:dyDescent="0.25">
      <c r="A2205"/>
      <c r="B2205"/>
    </row>
    <row r="2206" spans="1:2" x14ac:dyDescent="0.25">
      <c r="A2206"/>
      <c r="B2206"/>
    </row>
    <row r="2207" spans="1:2" x14ac:dyDescent="0.25">
      <c r="A2207"/>
      <c r="B2207"/>
    </row>
    <row r="2208" spans="1:2" x14ac:dyDescent="0.25">
      <c r="A2208"/>
      <c r="B2208"/>
    </row>
    <row r="2209" spans="1:2" x14ac:dyDescent="0.25">
      <c r="A2209"/>
      <c r="B2209"/>
    </row>
    <row r="2210" spans="1:2" x14ac:dyDescent="0.25">
      <c r="A2210"/>
      <c r="B2210"/>
    </row>
    <row r="2211" spans="1:2" x14ac:dyDescent="0.25">
      <c r="A2211"/>
      <c r="B2211"/>
    </row>
    <row r="2212" spans="1:2" x14ac:dyDescent="0.25">
      <c r="A2212"/>
      <c r="B2212"/>
    </row>
    <row r="2213" spans="1:2" x14ac:dyDescent="0.25">
      <c r="A2213"/>
      <c r="B2213"/>
    </row>
    <row r="2214" spans="1:2" x14ac:dyDescent="0.25">
      <c r="A2214"/>
      <c r="B2214"/>
    </row>
    <row r="2215" spans="1:2" x14ac:dyDescent="0.25">
      <c r="A2215"/>
      <c r="B2215"/>
    </row>
    <row r="2216" spans="1:2" x14ac:dyDescent="0.25">
      <c r="A2216"/>
      <c r="B2216"/>
    </row>
    <row r="2217" spans="1:2" x14ac:dyDescent="0.25">
      <c r="A2217"/>
      <c r="B2217"/>
    </row>
    <row r="2218" spans="1:2" x14ac:dyDescent="0.25">
      <c r="A2218"/>
      <c r="B2218"/>
    </row>
    <row r="2219" spans="1:2" x14ac:dyDescent="0.25">
      <c r="A2219"/>
      <c r="B2219"/>
    </row>
    <row r="2220" spans="1:2" x14ac:dyDescent="0.25">
      <c r="A2220"/>
      <c r="B2220"/>
    </row>
    <row r="2221" spans="1:2" x14ac:dyDescent="0.25">
      <c r="A2221"/>
      <c r="B2221"/>
    </row>
    <row r="2222" spans="1:2" x14ac:dyDescent="0.25">
      <c r="A2222"/>
      <c r="B2222"/>
    </row>
    <row r="2223" spans="1:2" x14ac:dyDescent="0.25">
      <c r="A2223"/>
      <c r="B2223"/>
    </row>
    <row r="2224" spans="1:2" x14ac:dyDescent="0.25">
      <c r="A2224"/>
      <c r="B2224"/>
    </row>
    <row r="2225" spans="1:2" x14ac:dyDescent="0.25">
      <c r="A2225"/>
      <c r="B2225"/>
    </row>
    <row r="2226" spans="1:2" x14ac:dyDescent="0.25">
      <c r="A2226"/>
      <c r="B2226"/>
    </row>
    <row r="2227" spans="1:2" x14ac:dyDescent="0.25">
      <c r="A2227"/>
      <c r="B2227"/>
    </row>
    <row r="2228" spans="1:2" x14ac:dyDescent="0.25">
      <c r="A2228"/>
      <c r="B2228"/>
    </row>
    <row r="2229" spans="1:2" x14ac:dyDescent="0.25">
      <c r="A2229"/>
      <c r="B2229"/>
    </row>
    <row r="2230" spans="1:2" x14ac:dyDescent="0.25">
      <c r="A2230"/>
      <c r="B2230"/>
    </row>
    <row r="2231" spans="1:2" x14ac:dyDescent="0.25">
      <c r="A2231"/>
      <c r="B2231"/>
    </row>
    <row r="2232" spans="1:2" x14ac:dyDescent="0.25">
      <c r="A2232"/>
      <c r="B2232"/>
    </row>
    <row r="2233" spans="1:2" x14ac:dyDescent="0.25">
      <c r="A2233"/>
      <c r="B2233"/>
    </row>
    <row r="2234" spans="1:2" x14ac:dyDescent="0.25">
      <c r="A2234"/>
      <c r="B2234"/>
    </row>
    <row r="2235" spans="1:2" x14ac:dyDescent="0.25">
      <c r="A2235"/>
      <c r="B2235"/>
    </row>
    <row r="2236" spans="1:2" x14ac:dyDescent="0.25">
      <c r="A2236"/>
      <c r="B2236"/>
    </row>
    <row r="2237" spans="1:2" x14ac:dyDescent="0.25">
      <c r="A2237"/>
      <c r="B2237"/>
    </row>
    <row r="2238" spans="1:2" x14ac:dyDescent="0.25">
      <c r="A2238"/>
      <c r="B2238"/>
    </row>
    <row r="2239" spans="1:2" x14ac:dyDescent="0.25">
      <c r="A2239"/>
      <c r="B2239"/>
    </row>
    <row r="2240" spans="1:2" x14ac:dyDescent="0.25">
      <c r="A2240"/>
      <c r="B2240"/>
    </row>
    <row r="2241" spans="1:2" x14ac:dyDescent="0.25">
      <c r="A2241"/>
      <c r="B2241"/>
    </row>
    <row r="2242" spans="1:2" x14ac:dyDescent="0.25">
      <c r="A2242"/>
      <c r="B2242"/>
    </row>
    <row r="2243" spans="1:2" x14ac:dyDescent="0.25">
      <c r="A2243"/>
      <c r="B2243"/>
    </row>
    <row r="2244" spans="1:2" x14ac:dyDescent="0.25">
      <c r="A2244"/>
      <c r="B2244"/>
    </row>
    <row r="2245" spans="1:2" x14ac:dyDescent="0.25">
      <c r="A2245"/>
      <c r="B2245"/>
    </row>
    <row r="2246" spans="1:2" x14ac:dyDescent="0.25">
      <c r="A2246"/>
      <c r="B2246"/>
    </row>
    <row r="2247" spans="1:2" x14ac:dyDescent="0.25">
      <c r="A2247"/>
      <c r="B2247"/>
    </row>
    <row r="2248" spans="1:2" x14ac:dyDescent="0.25">
      <c r="A2248"/>
      <c r="B2248"/>
    </row>
    <row r="2249" spans="1:2" x14ac:dyDescent="0.25">
      <c r="A2249"/>
      <c r="B2249"/>
    </row>
    <row r="2250" spans="1:2" x14ac:dyDescent="0.25">
      <c r="A2250"/>
      <c r="B2250"/>
    </row>
    <row r="2251" spans="1:2" x14ac:dyDescent="0.25">
      <c r="A2251"/>
      <c r="B2251"/>
    </row>
    <row r="2252" spans="1:2" x14ac:dyDescent="0.25">
      <c r="A2252"/>
      <c r="B2252"/>
    </row>
    <row r="2253" spans="1:2" x14ac:dyDescent="0.25">
      <c r="A2253"/>
      <c r="B2253"/>
    </row>
    <row r="2254" spans="1:2" x14ac:dyDescent="0.25">
      <c r="A2254"/>
      <c r="B2254"/>
    </row>
    <row r="2255" spans="1:2" x14ac:dyDescent="0.25">
      <c r="A2255"/>
      <c r="B2255"/>
    </row>
    <row r="2256" spans="1:2" x14ac:dyDescent="0.25">
      <c r="A2256"/>
      <c r="B2256"/>
    </row>
    <row r="2257" spans="1:2" x14ac:dyDescent="0.25">
      <c r="A2257"/>
      <c r="B2257"/>
    </row>
    <row r="2258" spans="1:2" x14ac:dyDescent="0.25">
      <c r="A2258"/>
      <c r="B2258"/>
    </row>
    <row r="2259" spans="1:2" x14ac:dyDescent="0.25">
      <c r="A2259"/>
      <c r="B2259"/>
    </row>
    <row r="2260" spans="1:2" x14ac:dyDescent="0.25">
      <c r="A2260"/>
      <c r="B2260"/>
    </row>
    <row r="2261" spans="1:2" x14ac:dyDescent="0.25">
      <c r="A2261"/>
      <c r="B2261"/>
    </row>
    <row r="2262" spans="1:2" x14ac:dyDescent="0.25">
      <c r="A2262"/>
      <c r="B2262"/>
    </row>
    <row r="2263" spans="1:2" x14ac:dyDescent="0.25">
      <c r="A2263"/>
      <c r="B2263"/>
    </row>
    <row r="2264" spans="1:2" x14ac:dyDescent="0.25">
      <c r="A2264"/>
      <c r="B2264"/>
    </row>
    <row r="2265" spans="1:2" x14ac:dyDescent="0.25">
      <c r="A2265"/>
      <c r="B2265"/>
    </row>
    <row r="2266" spans="1:2" x14ac:dyDescent="0.25">
      <c r="A2266"/>
      <c r="B2266"/>
    </row>
    <row r="2267" spans="1:2" x14ac:dyDescent="0.25">
      <c r="A2267"/>
      <c r="B2267"/>
    </row>
    <row r="2268" spans="1:2" x14ac:dyDescent="0.25">
      <c r="A2268"/>
      <c r="B2268"/>
    </row>
    <row r="2269" spans="1:2" x14ac:dyDescent="0.25">
      <c r="A2269"/>
      <c r="B2269"/>
    </row>
    <row r="2270" spans="1:2" x14ac:dyDescent="0.25">
      <c r="A2270"/>
      <c r="B2270"/>
    </row>
    <row r="2271" spans="1:2" x14ac:dyDescent="0.25">
      <c r="A2271"/>
      <c r="B2271"/>
    </row>
    <row r="2272" spans="1:2" x14ac:dyDescent="0.25">
      <c r="A2272"/>
      <c r="B2272"/>
    </row>
    <row r="2273" spans="1:2" x14ac:dyDescent="0.25">
      <c r="A2273"/>
      <c r="B2273"/>
    </row>
    <row r="2274" spans="1:2" x14ac:dyDescent="0.25">
      <c r="A2274"/>
      <c r="B2274"/>
    </row>
    <row r="2275" spans="1:2" x14ac:dyDescent="0.25">
      <c r="A2275"/>
      <c r="B2275"/>
    </row>
    <row r="2276" spans="1:2" x14ac:dyDescent="0.25">
      <c r="A2276"/>
      <c r="B2276"/>
    </row>
    <row r="2277" spans="1:2" x14ac:dyDescent="0.25">
      <c r="A2277"/>
      <c r="B2277"/>
    </row>
    <row r="2278" spans="1:2" x14ac:dyDescent="0.25">
      <c r="A2278"/>
      <c r="B2278"/>
    </row>
    <row r="2279" spans="1:2" x14ac:dyDescent="0.25">
      <c r="A2279"/>
      <c r="B2279"/>
    </row>
    <row r="2280" spans="1:2" x14ac:dyDescent="0.25">
      <c r="A2280"/>
      <c r="B2280"/>
    </row>
    <row r="2281" spans="1:2" x14ac:dyDescent="0.25">
      <c r="A2281"/>
      <c r="B2281"/>
    </row>
    <row r="2282" spans="1:2" x14ac:dyDescent="0.25">
      <c r="A2282"/>
      <c r="B2282"/>
    </row>
    <row r="2283" spans="1:2" x14ac:dyDescent="0.25">
      <c r="A2283"/>
      <c r="B2283"/>
    </row>
    <row r="2284" spans="1:2" x14ac:dyDescent="0.25">
      <c r="A2284"/>
      <c r="B2284"/>
    </row>
    <row r="2285" spans="1:2" x14ac:dyDescent="0.25">
      <c r="A2285"/>
      <c r="B2285"/>
    </row>
    <row r="2286" spans="1:2" x14ac:dyDescent="0.25">
      <c r="A2286"/>
      <c r="B2286"/>
    </row>
    <row r="2287" spans="1:2" x14ac:dyDescent="0.25">
      <c r="A2287"/>
      <c r="B2287"/>
    </row>
    <row r="2288" spans="1:2" x14ac:dyDescent="0.25">
      <c r="A2288"/>
      <c r="B2288"/>
    </row>
    <row r="2289" spans="1:2" x14ac:dyDescent="0.25">
      <c r="A2289"/>
      <c r="B2289"/>
    </row>
    <row r="2290" spans="1:2" x14ac:dyDescent="0.25">
      <c r="A2290"/>
      <c r="B2290"/>
    </row>
    <row r="2291" spans="1:2" x14ac:dyDescent="0.25">
      <c r="A2291"/>
      <c r="B2291"/>
    </row>
    <row r="2292" spans="1:2" x14ac:dyDescent="0.25">
      <c r="A2292"/>
      <c r="B2292"/>
    </row>
    <row r="2293" spans="1:2" x14ac:dyDescent="0.25">
      <c r="A2293"/>
      <c r="B2293"/>
    </row>
    <row r="2294" spans="1:2" x14ac:dyDescent="0.25">
      <c r="A2294"/>
      <c r="B2294"/>
    </row>
    <row r="2295" spans="1:2" x14ac:dyDescent="0.25">
      <c r="A2295"/>
      <c r="B2295"/>
    </row>
    <row r="2296" spans="1:2" x14ac:dyDescent="0.25">
      <c r="A2296"/>
      <c r="B2296"/>
    </row>
    <row r="2297" spans="1:2" x14ac:dyDescent="0.25">
      <c r="A2297"/>
      <c r="B2297"/>
    </row>
    <row r="2298" spans="1:2" x14ac:dyDescent="0.25">
      <c r="A2298"/>
      <c r="B2298"/>
    </row>
    <row r="2299" spans="1:2" x14ac:dyDescent="0.25">
      <c r="A2299"/>
      <c r="B2299"/>
    </row>
    <row r="2300" spans="1:2" x14ac:dyDescent="0.25">
      <c r="A2300"/>
      <c r="B2300"/>
    </row>
    <row r="2301" spans="1:2" x14ac:dyDescent="0.25">
      <c r="A2301"/>
      <c r="B2301"/>
    </row>
    <row r="2302" spans="1:2" x14ac:dyDescent="0.25">
      <c r="A2302"/>
      <c r="B2302"/>
    </row>
    <row r="2303" spans="1:2" x14ac:dyDescent="0.25">
      <c r="A2303"/>
      <c r="B2303"/>
    </row>
    <row r="2304" spans="1:2" x14ac:dyDescent="0.25">
      <c r="A2304"/>
      <c r="B2304"/>
    </row>
    <row r="2305" spans="1:2" x14ac:dyDescent="0.25">
      <c r="A2305"/>
      <c r="B2305"/>
    </row>
    <row r="2306" spans="1:2" x14ac:dyDescent="0.25">
      <c r="A2306"/>
      <c r="B2306"/>
    </row>
    <row r="2307" spans="1:2" x14ac:dyDescent="0.25">
      <c r="A2307"/>
      <c r="B2307"/>
    </row>
    <row r="2308" spans="1:2" x14ac:dyDescent="0.25">
      <c r="A2308"/>
      <c r="B2308"/>
    </row>
    <row r="2309" spans="1:2" x14ac:dyDescent="0.25">
      <c r="A2309"/>
      <c r="B2309"/>
    </row>
    <row r="2310" spans="1:2" x14ac:dyDescent="0.25">
      <c r="A2310"/>
      <c r="B2310"/>
    </row>
    <row r="2311" spans="1:2" x14ac:dyDescent="0.25">
      <c r="A2311"/>
      <c r="B2311"/>
    </row>
    <row r="2312" spans="1:2" x14ac:dyDescent="0.25">
      <c r="A2312"/>
      <c r="B2312"/>
    </row>
    <row r="2313" spans="1:2" x14ac:dyDescent="0.25">
      <c r="A2313"/>
      <c r="B2313"/>
    </row>
    <row r="2314" spans="1:2" x14ac:dyDescent="0.25">
      <c r="A2314"/>
      <c r="B2314"/>
    </row>
    <row r="2315" spans="1:2" x14ac:dyDescent="0.25">
      <c r="A2315"/>
      <c r="B2315"/>
    </row>
    <row r="2316" spans="1:2" x14ac:dyDescent="0.25">
      <c r="A2316"/>
      <c r="B2316"/>
    </row>
    <row r="2317" spans="1:2" x14ac:dyDescent="0.25">
      <c r="A2317"/>
      <c r="B2317"/>
    </row>
    <row r="2318" spans="1:2" x14ac:dyDescent="0.25">
      <c r="A2318"/>
      <c r="B2318"/>
    </row>
    <row r="2319" spans="1:2" x14ac:dyDescent="0.25">
      <c r="A2319"/>
      <c r="B2319"/>
    </row>
    <row r="2320" spans="1:2" x14ac:dyDescent="0.25">
      <c r="A2320"/>
      <c r="B2320"/>
    </row>
    <row r="2321" spans="1:2" x14ac:dyDescent="0.25">
      <c r="A2321"/>
      <c r="B2321"/>
    </row>
    <row r="2322" spans="1:2" x14ac:dyDescent="0.25">
      <c r="A2322"/>
      <c r="B2322"/>
    </row>
    <row r="2323" spans="1:2" x14ac:dyDescent="0.25">
      <c r="A2323"/>
      <c r="B2323"/>
    </row>
    <row r="2324" spans="1:2" x14ac:dyDescent="0.25">
      <c r="A2324"/>
      <c r="B2324"/>
    </row>
    <row r="2325" spans="1:2" x14ac:dyDescent="0.25">
      <c r="A2325"/>
      <c r="B2325"/>
    </row>
    <row r="2326" spans="1:2" x14ac:dyDescent="0.25">
      <c r="A2326"/>
      <c r="B2326"/>
    </row>
    <row r="2327" spans="1:2" x14ac:dyDescent="0.25">
      <c r="A2327"/>
      <c r="B2327"/>
    </row>
    <row r="2328" spans="1:2" x14ac:dyDescent="0.25">
      <c r="A2328"/>
      <c r="B2328"/>
    </row>
    <row r="2329" spans="1:2" x14ac:dyDescent="0.25">
      <c r="A2329"/>
      <c r="B2329"/>
    </row>
    <row r="2330" spans="1:2" x14ac:dyDescent="0.25">
      <c r="A2330"/>
      <c r="B2330"/>
    </row>
    <row r="2331" spans="1:2" x14ac:dyDescent="0.25">
      <c r="A2331"/>
      <c r="B2331"/>
    </row>
    <row r="2332" spans="1:2" x14ac:dyDescent="0.25">
      <c r="A2332"/>
      <c r="B2332"/>
    </row>
    <row r="2333" spans="1:2" x14ac:dyDescent="0.25">
      <c r="A2333"/>
      <c r="B2333"/>
    </row>
    <row r="2334" spans="1:2" x14ac:dyDescent="0.25">
      <c r="A2334"/>
      <c r="B2334"/>
    </row>
    <row r="2335" spans="1:2" x14ac:dyDescent="0.25">
      <c r="A2335"/>
      <c r="B2335"/>
    </row>
    <row r="2336" spans="1:2" x14ac:dyDescent="0.25">
      <c r="A2336"/>
      <c r="B2336"/>
    </row>
    <row r="2337" spans="1:2" x14ac:dyDescent="0.25">
      <c r="A2337"/>
      <c r="B2337"/>
    </row>
    <row r="2338" spans="1:2" x14ac:dyDescent="0.25">
      <c r="A2338"/>
      <c r="B2338"/>
    </row>
    <row r="2339" spans="1:2" x14ac:dyDescent="0.25">
      <c r="A2339"/>
      <c r="B2339"/>
    </row>
    <row r="2340" spans="1:2" x14ac:dyDescent="0.25">
      <c r="A2340"/>
      <c r="B2340"/>
    </row>
    <row r="2341" spans="1:2" x14ac:dyDescent="0.25">
      <c r="A2341"/>
      <c r="B2341"/>
    </row>
    <row r="2342" spans="1:2" x14ac:dyDescent="0.25">
      <c r="A2342"/>
      <c r="B2342"/>
    </row>
    <row r="2343" spans="1:2" x14ac:dyDescent="0.25">
      <c r="A2343"/>
      <c r="B2343"/>
    </row>
    <row r="2344" spans="1:2" x14ac:dyDescent="0.25">
      <c r="A2344"/>
      <c r="B2344"/>
    </row>
    <row r="2345" spans="1:2" x14ac:dyDescent="0.25">
      <c r="A2345"/>
      <c r="B2345"/>
    </row>
    <row r="2346" spans="1:2" x14ac:dyDescent="0.25">
      <c r="A2346"/>
      <c r="B2346"/>
    </row>
    <row r="2347" spans="1:2" x14ac:dyDescent="0.25">
      <c r="A2347"/>
      <c r="B2347"/>
    </row>
    <row r="2348" spans="1:2" x14ac:dyDescent="0.25">
      <c r="A2348"/>
      <c r="B2348"/>
    </row>
    <row r="2349" spans="1:2" x14ac:dyDescent="0.25">
      <c r="A2349"/>
      <c r="B2349"/>
    </row>
    <row r="2350" spans="1:2" x14ac:dyDescent="0.25">
      <c r="A2350"/>
      <c r="B2350"/>
    </row>
    <row r="2351" spans="1:2" x14ac:dyDescent="0.25">
      <c r="A2351"/>
      <c r="B2351"/>
    </row>
    <row r="2352" spans="1:2" x14ac:dyDescent="0.25">
      <c r="A2352"/>
      <c r="B2352"/>
    </row>
    <row r="2353" spans="1:2" x14ac:dyDescent="0.25">
      <c r="A2353"/>
      <c r="B2353"/>
    </row>
    <row r="2354" spans="1:2" x14ac:dyDescent="0.25">
      <c r="A2354"/>
      <c r="B2354"/>
    </row>
    <row r="2355" spans="1:2" x14ac:dyDescent="0.25">
      <c r="A2355"/>
      <c r="B2355"/>
    </row>
    <row r="2356" spans="1:2" x14ac:dyDescent="0.25">
      <c r="A2356"/>
      <c r="B2356"/>
    </row>
    <row r="2357" spans="1:2" x14ac:dyDescent="0.25">
      <c r="A2357"/>
      <c r="B2357"/>
    </row>
    <row r="2358" spans="1:2" x14ac:dyDescent="0.25">
      <c r="A2358"/>
      <c r="B2358"/>
    </row>
    <row r="2359" spans="1:2" x14ac:dyDescent="0.25">
      <c r="A2359"/>
      <c r="B2359"/>
    </row>
    <row r="2360" spans="1:2" x14ac:dyDescent="0.25">
      <c r="A2360"/>
      <c r="B2360"/>
    </row>
    <row r="2361" spans="1:2" x14ac:dyDescent="0.25">
      <c r="A2361"/>
      <c r="B2361"/>
    </row>
    <row r="2362" spans="1:2" x14ac:dyDescent="0.25">
      <c r="A2362"/>
      <c r="B2362"/>
    </row>
    <row r="2363" spans="1:2" x14ac:dyDescent="0.25">
      <c r="A2363"/>
      <c r="B2363"/>
    </row>
    <row r="2364" spans="1:2" x14ac:dyDescent="0.25">
      <c r="A2364"/>
      <c r="B2364"/>
    </row>
    <row r="2365" spans="1:2" x14ac:dyDescent="0.25">
      <c r="A2365"/>
      <c r="B2365"/>
    </row>
    <row r="2366" spans="1:2" x14ac:dyDescent="0.25">
      <c r="A2366"/>
      <c r="B2366"/>
    </row>
    <row r="2367" spans="1:2" x14ac:dyDescent="0.25">
      <c r="A2367"/>
      <c r="B2367"/>
    </row>
    <row r="2368" spans="1:2" x14ac:dyDescent="0.25">
      <c r="A2368"/>
      <c r="B2368"/>
    </row>
    <row r="2369" spans="1:2" x14ac:dyDescent="0.25">
      <c r="A2369"/>
      <c r="B2369"/>
    </row>
    <row r="2370" spans="1:2" x14ac:dyDescent="0.25">
      <c r="A2370"/>
      <c r="B2370"/>
    </row>
    <row r="2371" spans="1:2" x14ac:dyDescent="0.25">
      <c r="A2371"/>
      <c r="B2371"/>
    </row>
    <row r="2372" spans="1:2" x14ac:dyDescent="0.25">
      <c r="A2372"/>
      <c r="B2372"/>
    </row>
    <row r="2373" spans="1:2" x14ac:dyDescent="0.25">
      <c r="A2373"/>
      <c r="B2373"/>
    </row>
    <row r="2374" spans="1:2" x14ac:dyDescent="0.25">
      <c r="A2374"/>
      <c r="B2374"/>
    </row>
    <row r="2375" spans="1:2" x14ac:dyDescent="0.25">
      <c r="A2375"/>
      <c r="B2375"/>
    </row>
    <row r="2376" spans="1:2" x14ac:dyDescent="0.25">
      <c r="A2376"/>
      <c r="B2376"/>
    </row>
    <row r="2377" spans="1:2" x14ac:dyDescent="0.25">
      <c r="A2377"/>
      <c r="B2377"/>
    </row>
    <row r="2378" spans="1:2" x14ac:dyDescent="0.25">
      <c r="A2378"/>
      <c r="B2378"/>
    </row>
    <row r="2379" spans="1:2" x14ac:dyDescent="0.25">
      <c r="A2379"/>
      <c r="B2379"/>
    </row>
    <row r="2380" spans="1:2" x14ac:dyDescent="0.25">
      <c r="A2380"/>
      <c r="B2380"/>
    </row>
    <row r="2381" spans="1:2" x14ac:dyDescent="0.25">
      <c r="A2381"/>
      <c r="B2381"/>
    </row>
    <row r="2382" spans="1:2" x14ac:dyDescent="0.25">
      <c r="A2382"/>
      <c r="B2382"/>
    </row>
    <row r="2383" spans="1:2" x14ac:dyDescent="0.25">
      <c r="A2383"/>
      <c r="B2383"/>
    </row>
    <row r="2384" spans="1:2" x14ac:dyDescent="0.25">
      <c r="A2384"/>
      <c r="B2384"/>
    </row>
    <row r="2385" spans="1:2" x14ac:dyDescent="0.25">
      <c r="A2385"/>
      <c r="B2385"/>
    </row>
    <row r="2386" spans="1:2" x14ac:dyDescent="0.25">
      <c r="A2386"/>
      <c r="B2386"/>
    </row>
    <row r="2387" spans="1:2" x14ac:dyDescent="0.25">
      <c r="A2387"/>
      <c r="B2387"/>
    </row>
    <row r="2388" spans="1:2" x14ac:dyDescent="0.25">
      <c r="A2388"/>
      <c r="B2388"/>
    </row>
    <row r="2389" spans="1:2" x14ac:dyDescent="0.25">
      <c r="A2389"/>
      <c r="B2389"/>
    </row>
    <row r="2390" spans="1:2" x14ac:dyDescent="0.25">
      <c r="A2390"/>
      <c r="B2390"/>
    </row>
    <row r="2391" spans="1:2" x14ac:dyDescent="0.25">
      <c r="A2391"/>
      <c r="B2391"/>
    </row>
    <row r="2392" spans="1:2" x14ac:dyDescent="0.25">
      <c r="A2392"/>
      <c r="B2392"/>
    </row>
    <row r="2393" spans="1:2" x14ac:dyDescent="0.25">
      <c r="A2393"/>
      <c r="B2393"/>
    </row>
    <row r="2394" spans="1:2" x14ac:dyDescent="0.25">
      <c r="A2394"/>
      <c r="B2394"/>
    </row>
    <row r="2395" spans="1:2" x14ac:dyDescent="0.25">
      <c r="A2395"/>
      <c r="B2395"/>
    </row>
    <row r="2396" spans="1:2" x14ac:dyDescent="0.25">
      <c r="A2396"/>
      <c r="B2396"/>
    </row>
    <row r="2397" spans="1:2" x14ac:dyDescent="0.25">
      <c r="A2397"/>
      <c r="B2397"/>
    </row>
    <row r="2398" spans="1:2" x14ac:dyDescent="0.25">
      <c r="A2398"/>
      <c r="B2398"/>
    </row>
    <row r="2399" spans="1:2" x14ac:dyDescent="0.25">
      <c r="A2399"/>
      <c r="B2399"/>
    </row>
    <row r="2400" spans="1:2" x14ac:dyDescent="0.25">
      <c r="A2400"/>
      <c r="B2400"/>
    </row>
    <row r="2401" spans="1:2" x14ac:dyDescent="0.25">
      <c r="A2401"/>
      <c r="B2401"/>
    </row>
    <row r="2402" spans="1:2" x14ac:dyDescent="0.25">
      <c r="A2402"/>
      <c r="B2402"/>
    </row>
    <row r="2403" spans="1:2" x14ac:dyDescent="0.25">
      <c r="A2403"/>
      <c r="B2403"/>
    </row>
    <row r="2404" spans="1:2" x14ac:dyDescent="0.25">
      <c r="A2404"/>
      <c r="B2404"/>
    </row>
    <row r="2405" spans="1:2" x14ac:dyDescent="0.25">
      <c r="A2405"/>
      <c r="B2405"/>
    </row>
    <row r="2406" spans="1:2" x14ac:dyDescent="0.25">
      <c r="A2406"/>
      <c r="B2406"/>
    </row>
    <row r="2407" spans="1:2" x14ac:dyDescent="0.25">
      <c r="A2407"/>
      <c r="B2407"/>
    </row>
    <row r="2408" spans="1:2" x14ac:dyDescent="0.25">
      <c r="A2408"/>
      <c r="B2408"/>
    </row>
    <row r="2409" spans="1:2" x14ac:dyDescent="0.25">
      <c r="A2409"/>
      <c r="B2409"/>
    </row>
    <row r="2410" spans="1:2" x14ac:dyDescent="0.25">
      <c r="A2410"/>
      <c r="B2410"/>
    </row>
    <row r="2411" spans="1:2" x14ac:dyDescent="0.25">
      <c r="A2411"/>
      <c r="B2411"/>
    </row>
    <row r="2412" spans="1:2" x14ac:dyDescent="0.25">
      <c r="A2412"/>
      <c r="B2412"/>
    </row>
    <row r="2413" spans="1:2" x14ac:dyDescent="0.25">
      <c r="A2413"/>
      <c r="B2413"/>
    </row>
    <row r="2414" spans="1:2" x14ac:dyDescent="0.25">
      <c r="A2414"/>
      <c r="B2414"/>
    </row>
  </sheetData>
  <autoFilter ref="A1:C2021"/>
  <conditionalFormatting sqref="A2415:B65536">
    <cfRule type="duplicateValues" dxfId="8" priority="11"/>
    <cfRule type="duplicateValues" dxfId="7" priority="12"/>
    <cfRule type="duplicateValues" dxfId="6" priority="13"/>
  </conditionalFormatting>
  <conditionalFormatting sqref="A2415:B65536 A1:B1">
    <cfRule type="duplicateValues" dxfId="5" priority="10"/>
  </conditionalFormatting>
  <conditionalFormatting sqref="A2415:B65536 A1:B1">
    <cfRule type="duplicateValues" dxfId="4" priority="8"/>
    <cfRule type="duplicateValues" dxfId="3" priority="9"/>
  </conditionalFormatting>
  <pageMargins left="0.7" right="0.7" top="0.75" bottom="0.75" header="0.3" footer="0.3"/>
  <pageSetup orientation="portrait" r:id="rId1"/>
  <ignoredErrors>
    <ignoredError sqref="B6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6"/>
  <sheetViews>
    <sheetView showGridLines="0" tabSelected="1" workbookViewId="0">
      <selection sqref="A1:G1"/>
    </sheetView>
  </sheetViews>
  <sheetFormatPr defaultRowHeight="15" x14ac:dyDescent="0.25"/>
  <cols>
    <col min="1" max="1" width="3.42578125" customWidth="1"/>
    <col min="2" max="2" width="17.42578125" bestFit="1" customWidth="1"/>
    <col min="3" max="3" width="17.28515625" style="11" customWidth="1"/>
    <col min="4" max="4" width="35.85546875" bestFit="1" customWidth="1"/>
  </cols>
  <sheetData>
    <row r="1" spans="1:8" ht="19.5" thickBot="1" x14ac:dyDescent="0.35">
      <c r="A1" s="25" t="s">
        <v>2373</v>
      </c>
      <c r="B1" s="25"/>
      <c r="C1" s="25"/>
      <c r="D1" s="25"/>
      <c r="E1" s="25"/>
      <c r="F1" s="25"/>
      <c r="G1" s="25"/>
      <c r="H1" s="23"/>
    </row>
    <row r="2" spans="1:8" ht="4.5" customHeight="1" thickTop="1" x14ac:dyDescent="0.25"/>
    <row r="3" spans="1:8" ht="4.5" customHeight="1" x14ac:dyDescent="0.25"/>
    <row r="4" spans="1:8" x14ac:dyDescent="0.25">
      <c r="A4" s="24" t="s">
        <v>2376</v>
      </c>
      <c r="B4" s="24"/>
      <c r="C4" s="24"/>
      <c r="D4" s="24"/>
      <c r="E4" s="24"/>
      <c r="F4" s="24"/>
      <c r="G4" s="24"/>
      <c r="H4" s="22"/>
    </row>
    <row r="5" spans="1:8" ht="6.75" customHeight="1" x14ac:dyDescent="0.25">
      <c r="A5" s="21"/>
      <c r="B5" s="21"/>
      <c r="C5" s="21"/>
      <c r="D5" s="21"/>
      <c r="E5" s="21"/>
      <c r="F5" s="21"/>
      <c r="G5" s="21"/>
      <c r="H5" s="21"/>
    </row>
    <row r="6" spans="1:8" x14ac:dyDescent="0.25">
      <c r="A6" s="24" t="s">
        <v>2377</v>
      </c>
      <c r="B6" s="24"/>
      <c r="C6" s="24"/>
      <c r="D6" s="24"/>
      <c r="E6" s="24"/>
      <c r="F6" s="24"/>
      <c r="G6" s="24"/>
      <c r="H6" s="22"/>
    </row>
    <row r="7" spans="1:8" x14ac:dyDescent="0.25">
      <c r="A7" s="24" t="s">
        <v>2371</v>
      </c>
      <c r="B7" s="24"/>
      <c r="C7" s="24"/>
      <c r="D7" s="24"/>
      <c r="E7" s="24"/>
      <c r="F7" s="24"/>
      <c r="G7" s="24"/>
      <c r="H7" s="22"/>
    </row>
    <row r="8" spans="1:8" x14ac:dyDescent="0.25">
      <c r="A8" s="24" t="s">
        <v>2372</v>
      </c>
      <c r="B8" s="24"/>
      <c r="C8" s="24"/>
      <c r="D8" s="24"/>
      <c r="E8" s="24"/>
      <c r="F8" s="24"/>
      <c r="G8" s="24"/>
      <c r="H8" s="22"/>
    </row>
    <row r="9" spans="1:8" ht="6.75" customHeight="1" x14ac:dyDescent="0.25">
      <c r="A9" s="21"/>
      <c r="B9" s="21"/>
      <c r="C9" s="21"/>
      <c r="D9" s="21"/>
      <c r="E9" s="21"/>
      <c r="F9" s="21"/>
      <c r="G9" s="21"/>
      <c r="H9" s="21"/>
    </row>
    <row r="10" spans="1:8" x14ac:dyDescent="0.25">
      <c r="A10" s="24" t="s">
        <v>2378</v>
      </c>
      <c r="B10" s="24"/>
      <c r="C10" s="24"/>
      <c r="D10" s="24"/>
      <c r="E10" s="24"/>
      <c r="F10" s="24"/>
      <c r="G10" s="24"/>
      <c r="H10" s="22"/>
    </row>
    <row r="11" spans="1:8" x14ac:dyDescent="0.25">
      <c r="A11" s="24" t="s">
        <v>2375</v>
      </c>
      <c r="B11" s="24"/>
      <c r="C11" s="24"/>
      <c r="D11" s="24"/>
      <c r="E11" s="24"/>
      <c r="F11" s="24"/>
      <c r="G11" s="24"/>
      <c r="H11" s="22"/>
    </row>
    <row r="12" spans="1:8" ht="6.75" customHeight="1" x14ac:dyDescent="0.25">
      <c r="A12" s="21"/>
      <c r="B12" s="21"/>
      <c r="C12" s="21"/>
      <c r="D12" s="21"/>
      <c r="E12" s="21"/>
      <c r="F12" s="21"/>
      <c r="G12" s="21"/>
      <c r="H12" s="21"/>
    </row>
    <row r="13" spans="1:8" x14ac:dyDescent="0.25">
      <c r="A13" s="24" t="s">
        <v>2379</v>
      </c>
      <c r="B13" s="24"/>
      <c r="C13" s="24"/>
      <c r="D13" s="24"/>
      <c r="E13" s="24"/>
      <c r="F13" s="24"/>
      <c r="G13" s="24"/>
      <c r="H13" s="22"/>
    </row>
    <row r="14" spans="1:8" x14ac:dyDescent="0.25">
      <c r="A14" s="24" t="s">
        <v>2384</v>
      </c>
      <c r="B14" s="24"/>
      <c r="C14" s="24"/>
      <c r="D14" s="24"/>
      <c r="E14" s="24"/>
      <c r="F14" s="24"/>
      <c r="G14" s="24"/>
      <c r="H14" s="22"/>
    </row>
    <row r="15" spans="1:8" ht="6.75" customHeight="1" x14ac:dyDescent="0.25">
      <c r="A15" s="21"/>
      <c r="B15" s="21"/>
      <c r="C15" s="21"/>
      <c r="D15" s="21"/>
      <c r="E15" s="21"/>
      <c r="F15" s="21"/>
      <c r="G15" s="21"/>
      <c r="H15" s="21"/>
    </row>
    <row r="16" spans="1:8" x14ac:dyDescent="0.25">
      <c r="A16" s="24" t="s">
        <v>2383</v>
      </c>
      <c r="B16" s="24"/>
      <c r="C16" s="24"/>
      <c r="D16" s="24"/>
      <c r="E16" s="24"/>
      <c r="F16" s="24"/>
      <c r="G16" s="24"/>
      <c r="H16" s="22"/>
    </row>
    <row r="17" spans="1:8" x14ac:dyDescent="0.25">
      <c r="A17" s="24" t="s">
        <v>2385</v>
      </c>
      <c r="B17" s="24"/>
      <c r="C17" s="24"/>
      <c r="D17" s="24"/>
      <c r="E17" s="24"/>
      <c r="F17" s="24"/>
      <c r="G17" s="24"/>
      <c r="H17" s="22"/>
    </row>
    <row r="18" spans="1:8" ht="6.75" customHeight="1" x14ac:dyDescent="0.25">
      <c r="A18" s="21"/>
      <c r="B18" s="21"/>
      <c r="C18" s="21"/>
      <c r="D18" s="21"/>
      <c r="E18" s="21"/>
      <c r="F18" s="21"/>
      <c r="G18" s="21"/>
      <c r="H18" s="21"/>
    </row>
    <row r="19" spans="1:8" x14ac:dyDescent="0.25">
      <c r="A19" s="24" t="s">
        <v>2380</v>
      </c>
      <c r="B19" s="24"/>
      <c r="C19" s="24"/>
      <c r="D19" s="24"/>
      <c r="E19" s="24"/>
      <c r="F19" s="24"/>
      <c r="G19" s="24"/>
      <c r="H19" s="22"/>
    </row>
    <row r="20" spans="1:8" x14ac:dyDescent="0.25">
      <c r="A20" s="24" t="s">
        <v>2374</v>
      </c>
      <c r="B20" s="24"/>
      <c r="C20" s="24"/>
      <c r="D20" s="24"/>
      <c r="E20" s="24"/>
      <c r="F20" s="24"/>
      <c r="G20" s="24"/>
      <c r="H20" s="22"/>
    </row>
    <row r="21" spans="1:8" ht="6.75" customHeight="1" x14ac:dyDescent="0.25">
      <c r="A21" s="21"/>
      <c r="B21" s="21"/>
      <c r="C21" s="21"/>
      <c r="D21" s="21"/>
      <c r="E21" s="21"/>
      <c r="F21" s="21"/>
      <c r="G21" s="21"/>
      <c r="H21" s="21"/>
    </row>
    <row r="22" spans="1:8" x14ac:dyDescent="0.25">
      <c r="A22" s="24" t="s">
        <v>2381</v>
      </c>
      <c r="B22" s="24"/>
      <c r="C22" s="24"/>
      <c r="D22" s="24"/>
      <c r="E22" s="24"/>
      <c r="F22" s="24"/>
      <c r="G22" s="24"/>
      <c r="H22" s="22"/>
    </row>
    <row r="23" spans="1:8" x14ac:dyDescent="0.25">
      <c r="A23" s="24" t="s">
        <v>2382</v>
      </c>
      <c r="B23" s="24"/>
      <c r="C23" s="24"/>
      <c r="D23" s="24"/>
      <c r="E23" s="24"/>
      <c r="F23" s="24"/>
      <c r="G23" s="24"/>
      <c r="H23" s="22"/>
    </row>
    <row r="24" spans="1:8" ht="11.25" customHeight="1" thickBot="1" x14ac:dyDescent="0.3"/>
    <row r="25" spans="1:8" ht="30" x14ac:dyDescent="0.25">
      <c r="B25" s="12" t="s">
        <v>2369</v>
      </c>
      <c r="C25" s="13" t="s">
        <v>2370</v>
      </c>
      <c r="D25" s="20" t="s">
        <v>1</v>
      </c>
    </row>
    <row r="26" spans="1:8" ht="15.75" x14ac:dyDescent="0.3">
      <c r="B26" s="14" t="s">
        <v>774</v>
      </c>
      <c r="C26" s="15" t="str">
        <f>REPLACE(B26,1,9,"70032xx")</f>
        <v>70032xx</v>
      </c>
      <c r="D26" s="16" t="s">
        <v>775</v>
      </c>
    </row>
    <row r="27" spans="1:8" ht="15.75" x14ac:dyDescent="0.3">
      <c r="B27" s="14" t="s">
        <v>776</v>
      </c>
      <c r="C27" s="15" t="str">
        <f>REPLACE(B27,1,9,"70031xx")</f>
        <v>70031xx</v>
      </c>
      <c r="D27" s="16" t="s">
        <v>3</v>
      </c>
    </row>
    <row r="28" spans="1:8" ht="15.75" x14ac:dyDescent="0.3">
      <c r="B28" s="14" t="s">
        <v>777</v>
      </c>
      <c r="C28" s="15" t="str">
        <f>REPLACE(B28,1,9,"70033xx")</f>
        <v>70033xx</v>
      </c>
      <c r="D28" s="16" t="s">
        <v>778</v>
      </c>
    </row>
    <row r="29" spans="1:8" ht="15.75" x14ac:dyDescent="0.3">
      <c r="B29" s="14" t="s">
        <v>779</v>
      </c>
      <c r="C29" s="15" t="str">
        <f>REPLACE(B29,1,9,"70061xx")</f>
        <v>70061xx</v>
      </c>
      <c r="D29" s="16" t="s">
        <v>4</v>
      </c>
    </row>
    <row r="30" spans="1:8" ht="15.75" x14ac:dyDescent="0.3">
      <c r="B30" s="14" t="s">
        <v>780</v>
      </c>
      <c r="C30" s="15" t="str">
        <f>REPLACE(B30,1,9,"70063xx")</f>
        <v>70063xx</v>
      </c>
      <c r="D30" s="16" t="s">
        <v>781</v>
      </c>
    </row>
    <row r="31" spans="1:8" ht="15.75" x14ac:dyDescent="0.3">
      <c r="B31" s="14" t="s">
        <v>782</v>
      </c>
      <c r="C31" s="15" t="str">
        <f>REPLACE(B31,1,9,"70062xx")</f>
        <v>70062xx</v>
      </c>
      <c r="D31" s="16" t="s">
        <v>783</v>
      </c>
    </row>
    <row r="32" spans="1:8" ht="15.75" x14ac:dyDescent="0.3">
      <c r="B32" s="14" t="s">
        <v>784</v>
      </c>
      <c r="C32" s="15" t="str">
        <f>REPLACE(B32,1,9,"70064xx")</f>
        <v>70064xx</v>
      </c>
      <c r="D32" s="16" t="s">
        <v>785</v>
      </c>
    </row>
    <row r="33" spans="2:4" ht="15.75" x14ac:dyDescent="0.3">
      <c r="B33" s="14" t="s">
        <v>786</v>
      </c>
      <c r="C33" s="15" t="str">
        <f>REPLACE(B33,1,9,"70079xx")</f>
        <v>70079xx</v>
      </c>
      <c r="D33" s="16" t="s">
        <v>787</v>
      </c>
    </row>
    <row r="34" spans="2:4" ht="15.75" x14ac:dyDescent="0.3">
      <c r="B34" s="14" t="s">
        <v>788</v>
      </c>
      <c r="C34" s="15" t="str">
        <f>REPLACE(B34,1,9,"70073xx")</f>
        <v>70073xx</v>
      </c>
      <c r="D34" s="16" t="s">
        <v>789</v>
      </c>
    </row>
    <row r="35" spans="2:4" ht="15.75" x14ac:dyDescent="0.3">
      <c r="B35" s="14" t="s">
        <v>790</v>
      </c>
      <c r="C35" s="15" t="str">
        <f>REPLACE(B35,1,9,"70072xx")</f>
        <v>70072xx</v>
      </c>
      <c r="D35" s="16" t="s">
        <v>791</v>
      </c>
    </row>
    <row r="36" spans="2:4" ht="15.75" x14ac:dyDescent="0.3">
      <c r="B36" s="14" t="s">
        <v>792</v>
      </c>
      <c r="C36" s="15" t="str">
        <f>REPLACE(B36,1,9,"70071xx")</f>
        <v>70071xx</v>
      </c>
      <c r="D36" s="16" t="s">
        <v>51</v>
      </c>
    </row>
    <row r="37" spans="2:4" ht="15.75" x14ac:dyDescent="0.3">
      <c r="B37" s="14" t="s">
        <v>793</v>
      </c>
      <c r="C37" s="15" t="str">
        <f>REPLACE(B37,1,9,"70081xx")</f>
        <v>70081xx</v>
      </c>
      <c r="D37" s="16" t="s">
        <v>794</v>
      </c>
    </row>
    <row r="38" spans="2:4" ht="15.75" x14ac:dyDescent="0.3">
      <c r="B38" s="14" t="s">
        <v>795</v>
      </c>
      <c r="C38" s="15" t="str">
        <f>REPLACE(B38,1,9,"70041xx")</f>
        <v>70041xx</v>
      </c>
      <c r="D38" s="16" t="s">
        <v>52</v>
      </c>
    </row>
    <row r="39" spans="2:4" ht="15.75" x14ac:dyDescent="0.3">
      <c r="B39" s="14" t="s">
        <v>796</v>
      </c>
      <c r="C39" s="15" t="str">
        <f>REPLACE(B39,1,9,"70042xx")</f>
        <v>70042xx</v>
      </c>
      <c r="D39" s="16" t="s">
        <v>797</v>
      </c>
    </row>
    <row r="40" spans="2:4" ht="15.75" x14ac:dyDescent="0.3">
      <c r="B40" s="14" t="s">
        <v>798</v>
      </c>
      <c r="C40" s="15" t="str">
        <f>REPLACE(B40,1,9,"70011xx")</f>
        <v>70011xx</v>
      </c>
      <c r="D40" s="16" t="s">
        <v>5</v>
      </c>
    </row>
    <row r="41" spans="2:4" ht="15.75" x14ac:dyDescent="0.3">
      <c r="B41" s="14" t="s">
        <v>799</v>
      </c>
      <c r="C41" s="15" t="str">
        <f>REPLACE(B41,1,9,"70991xx")</f>
        <v>70991xx</v>
      </c>
      <c r="D41" s="16" t="s">
        <v>53</v>
      </c>
    </row>
    <row r="42" spans="2:4" ht="15.75" x14ac:dyDescent="0.3">
      <c r="B42" s="14" t="s">
        <v>800</v>
      </c>
      <c r="C42" s="15" t="str">
        <f>REPLACE(B42,1,9,"70021xx")</f>
        <v>70021xx</v>
      </c>
      <c r="D42" s="16" t="s">
        <v>6</v>
      </c>
    </row>
    <row r="43" spans="2:4" ht="15.75" x14ac:dyDescent="0.3">
      <c r="B43" s="14" t="s">
        <v>801</v>
      </c>
      <c r="C43" s="15" t="str">
        <f>REPLACE(B43,1,9,"75011xx")</f>
        <v>75011xx</v>
      </c>
      <c r="D43" s="16" t="s">
        <v>54</v>
      </c>
    </row>
    <row r="44" spans="2:4" ht="15.75" x14ac:dyDescent="0.3">
      <c r="B44" s="14" t="s">
        <v>802</v>
      </c>
      <c r="C44" s="15" t="str">
        <f>REPLACE(B44,1,9,"75021xx")</f>
        <v>75021xx</v>
      </c>
      <c r="D44" s="16" t="s">
        <v>803</v>
      </c>
    </row>
    <row r="45" spans="2:4" ht="15.75" x14ac:dyDescent="0.3">
      <c r="B45" s="14" t="s">
        <v>804</v>
      </c>
      <c r="C45" s="15" t="str">
        <f>REPLACE(B45,1,9,"75032xx")</f>
        <v>75032xx</v>
      </c>
      <c r="D45" s="16" t="s">
        <v>805</v>
      </c>
    </row>
    <row r="46" spans="2:4" ht="15.75" x14ac:dyDescent="0.3">
      <c r="B46" s="14" t="s">
        <v>806</v>
      </c>
      <c r="C46" s="15" t="str">
        <f>REPLACE(B46,1,9,"75031xx")</f>
        <v>75031xx</v>
      </c>
      <c r="D46" s="16" t="s">
        <v>56</v>
      </c>
    </row>
    <row r="47" spans="2:4" ht="15.75" x14ac:dyDescent="0.3">
      <c r="B47" s="14" t="s">
        <v>807</v>
      </c>
      <c r="C47" s="15" t="str">
        <f>REPLACE(B47,1,9,"75041xx")</f>
        <v>75041xx</v>
      </c>
      <c r="D47" s="16" t="s">
        <v>57</v>
      </c>
    </row>
    <row r="48" spans="2:4" ht="15.75" x14ac:dyDescent="0.3">
      <c r="B48" s="14" t="s">
        <v>808</v>
      </c>
      <c r="C48" s="15" t="str">
        <f>REPLACE(B48,1,9,"75051xx")</f>
        <v>75051xx</v>
      </c>
      <c r="D48" s="16" t="s">
        <v>58</v>
      </c>
    </row>
    <row r="49" spans="2:4" ht="15.75" x14ac:dyDescent="0.3">
      <c r="B49" s="14" t="s">
        <v>809</v>
      </c>
      <c r="C49" s="15" t="str">
        <f>REPLACE(B49,1,9,"75062xx")</f>
        <v>75062xx</v>
      </c>
      <c r="D49" s="16" t="s">
        <v>810</v>
      </c>
    </row>
    <row r="50" spans="2:4" ht="15.75" x14ac:dyDescent="0.3">
      <c r="B50" s="14" t="s">
        <v>811</v>
      </c>
      <c r="C50" s="15" t="str">
        <f>REPLACE(B50,1,9,"75061xx")</f>
        <v>75061xx</v>
      </c>
      <c r="D50" s="16" t="s">
        <v>59</v>
      </c>
    </row>
    <row r="51" spans="2:4" ht="15.75" x14ac:dyDescent="0.3">
      <c r="B51" s="14" t="s">
        <v>812</v>
      </c>
      <c r="C51" s="15" t="str">
        <f>REPLACE(B51,1,9,"75071xx")</f>
        <v>75071xx</v>
      </c>
      <c r="D51" s="16" t="s">
        <v>60</v>
      </c>
    </row>
    <row r="52" spans="2:4" ht="15.75" x14ac:dyDescent="0.3">
      <c r="B52" s="14" t="s">
        <v>813</v>
      </c>
      <c r="C52" s="15" t="str">
        <f>REPLACE(B52,1,9,"75081xx")</f>
        <v>75081xx</v>
      </c>
      <c r="D52" s="16" t="s">
        <v>814</v>
      </c>
    </row>
    <row r="53" spans="2:4" ht="15.75" x14ac:dyDescent="0.3">
      <c r="B53" s="14" t="s">
        <v>815</v>
      </c>
      <c r="C53" s="15" t="str">
        <f>REPLACE(B53,1,9,"75091xx")</f>
        <v>75091xx</v>
      </c>
      <c r="D53" s="16" t="s">
        <v>62</v>
      </c>
    </row>
    <row r="54" spans="2:4" ht="15.75" x14ac:dyDescent="0.3">
      <c r="B54" s="14" t="s">
        <v>816</v>
      </c>
      <c r="C54" s="15" t="str">
        <f>REPLACE(B54,1,9,"75612xx")</f>
        <v>75612xx</v>
      </c>
      <c r="D54" s="16" t="s">
        <v>817</v>
      </c>
    </row>
    <row r="55" spans="2:4" ht="15.75" x14ac:dyDescent="0.3">
      <c r="B55" s="14" t="s">
        <v>818</v>
      </c>
      <c r="C55" s="15" t="str">
        <f>REPLACE(B55,1,9,"75611xx")</f>
        <v>75611xx</v>
      </c>
      <c r="D55" s="16" t="s">
        <v>819</v>
      </c>
    </row>
    <row r="56" spans="2:4" ht="15.75" x14ac:dyDescent="0.3">
      <c r="B56" s="14" t="s">
        <v>820</v>
      </c>
      <c r="C56" s="15" t="str">
        <f>REPLACE(B56,1,9,"75613xx")</f>
        <v>75613xx</v>
      </c>
      <c r="D56" s="16" t="s">
        <v>821</v>
      </c>
    </row>
    <row r="57" spans="2:4" ht="15.75" x14ac:dyDescent="0.3">
      <c r="B57" s="14" t="s">
        <v>822</v>
      </c>
      <c r="C57" s="15" t="str">
        <f>REPLACE(B57,1,9,"75622xx")</f>
        <v>75622xx</v>
      </c>
      <c r="D57" s="16" t="s">
        <v>823</v>
      </c>
    </row>
    <row r="58" spans="2:4" ht="15.75" x14ac:dyDescent="0.3">
      <c r="B58" s="14" t="s">
        <v>824</v>
      </c>
      <c r="C58" s="15" t="str">
        <f>REPLACE(B58,1,9,"75623xx")</f>
        <v>75623xx</v>
      </c>
      <c r="D58" s="16" t="s">
        <v>825</v>
      </c>
    </row>
    <row r="59" spans="2:4" ht="15.75" x14ac:dyDescent="0.3">
      <c r="B59" s="14" t="s">
        <v>826</v>
      </c>
      <c r="C59" s="15" t="str">
        <f>REPLACE(B59,1,9,"75621xx")</f>
        <v>75621xx</v>
      </c>
      <c r="D59" s="16" t="s">
        <v>827</v>
      </c>
    </row>
    <row r="60" spans="2:4" ht="15.75" x14ac:dyDescent="0.3">
      <c r="B60" s="14" t="s">
        <v>828</v>
      </c>
      <c r="C60" s="15" t="str">
        <f>REPLACE(B60,1,9,"75624xx")</f>
        <v>75624xx</v>
      </c>
      <c r="D60" s="16" t="s">
        <v>829</v>
      </c>
    </row>
    <row r="61" spans="2:4" ht="15.75" x14ac:dyDescent="0.3">
      <c r="B61" s="14" t="s">
        <v>830</v>
      </c>
      <c r="C61" s="15" t="str">
        <f>REPLACE(B61,1,9,"75632xx")</f>
        <v>75632xx</v>
      </c>
      <c r="D61" s="16" t="s">
        <v>831</v>
      </c>
    </row>
    <row r="62" spans="2:4" ht="15.75" x14ac:dyDescent="0.3">
      <c r="B62" s="14" t="s">
        <v>832</v>
      </c>
      <c r="C62" s="15" t="str">
        <f>REPLACE(B62,1,9,"75633xx")</f>
        <v>75633xx</v>
      </c>
      <c r="D62" s="16" t="s">
        <v>833</v>
      </c>
    </row>
    <row r="63" spans="2:4" ht="15.75" x14ac:dyDescent="0.3">
      <c r="B63" s="14" t="s">
        <v>834</v>
      </c>
      <c r="C63" s="15" t="str">
        <f>REPLACE(B63,1,9,"75631xx")</f>
        <v>75631xx</v>
      </c>
      <c r="D63" s="16" t="s">
        <v>835</v>
      </c>
    </row>
    <row r="64" spans="2:4" ht="15.75" x14ac:dyDescent="0.3">
      <c r="B64" s="14" t="s">
        <v>836</v>
      </c>
      <c r="C64" s="15" t="str">
        <f>REPLACE(B64,1,9,"75634xx")</f>
        <v>75634xx</v>
      </c>
      <c r="D64" s="16" t="s">
        <v>837</v>
      </c>
    </row>
    <row r="65" spans="2:4" ht="15.75" x14ac:dyDescent="0.3">
      <c r="B65" s="14" t="s">
        <v>838</v>
      </c>
      <c r="C65" s="15" t="str">
        <f>REPLACE(B65,1,9,"75642xx")</f>
        <v>75642xx</v>
      </c>
      <c r="D65" s="16" t="s">
        <v>839</v>
      </c>
    </row>
    <row r="66" spans="2:4" ht="15.75" x14ac:dyDescent="0.3">
      <c r="B66" s="14" t="s">
        <v>840</v>
      </c>
      <c r="C66" s="15" t="str">
        <f>REPLACE(B66,1,9,"75643xx")</f>
        <v>75643xx</v>
      </c>
      <c r="D66" s="16" t="s">
        <v>841</v>
      </c>
    </row>
    <row r="67" spans="2:4" ht="15.75" x14ac:dyDescent="0.3">
      <c r="B67" s="14" t="s">
        <v>842</v>
      </c>
      <c r="C67" s="15" t="str">
        <f>REPLACE(B67,1,9,"75641xx")</f>
        <v>75641xx</v>
      </c>
      <c r="D67" s="16" t="s">
        <v>843</v>
      </c>
    </row>
    <row r="68" spans="2:4" ht="15.75" x14ac:dyDescent="0.3">
      <c r="B68" s="14" t="s">
        <v>844</v>
      </c>
      <c r="C68" s="15" t="str">
        <f>REPLACE(B68,1,9,"75644xx")</f>
        <v>75644xx</v>
      </c>
      <c r="D68" s="16" t="s">
        <v>845</v>
      </c>
    </row>
    <row r="69" spans="2:4" ht="15.75" x14ac:dyDescent="0.3">
      <c r="B69" s="14" t="s">
        <v>846</v>
      </c>
      <c r="C69" s="15" t="str">
        <f>REPLACE(B69,1,9,"75645xx")</f>
        <v>75645xx</v>
      </c>
      <c r="D69" s="16" t="s">
        <v>847</v>
      </c>
    </row>
    <row r="70" spans="2:4" ht="15.75" x14ac:dyDescent="0.3">
      <c r="B70" s="14" t="s">
        <v>848</v>
      </c>
      <c r="C70" s="15" t="str">
        <f>REPLACE(B70,1,9,"75646xx")</f>
        <v>75646xx</v>
      </c>
      <c r="D70" s="16" t="s">
        <v>849</v>
      </c>
    </row>
    <row r="71" spans="2:4" ht="15.75" x14ac:dyDescent="0.3">
      <c r="B71" s="14" t="s">
        <v>850</v>
      </c>
      <c r="C71" s="15" t="str">
        <f>REPLACE(B71,1,9,"75652xx")</f>
        <v>75652xx</v>
      </c>
      <c r="D71" s="16" t="s">
        <v>851</v>
      </c>
    </row>
    <row r="72" spans="2:4" ht="15.75" x14ac:dyDescent="0.3">
      <c r="B72" s="14" t="s">
        <v>852</v>
      </c>
      <c r="C72" s="15" t="str">
        <f>REPLACE(B72,1,9,"75653xx")</f>
        <v>75653xx</v>
      </c>
      <c r="D72" s="16" t="s">
        <v>853</v>
      </c>
    </row>
    <row r="73" spans="2:4" ht="15.75" x14ac:dyDescent="0.3">
      <c r="B73" s="14" t="s">
        <v>854</v>
      </c>
      <c r="C73" s="15" t="str">
        <f>REPLACE(B73,1,9,"75651xx")</f>
        <v>75651xx</v>
      </c>
      <c r="D73" s="16" t="s">
        <v>855</v>
      </c>
    </row>
    <row r="74" spans="2:4" ht="15.75" x14ac:dyDescent="0.3">
      <c r="B74" s="14" t="s">
        <v>856</v>
      </c>
      <c r="C74" s="15" t="str">
        <f>REPLACE(B74,1,9,"75654xx")</f>
        <v>75654xx</v>
      </c>
      <c r="D74" s="16" t="s">
        <v>857</v>
      </c>
    </row>
    <row r="75" spans="2:4" ht="15.75" x14ac:dyDescent="0.3">
      <c r="B75" s="14" t="s">
        <v>858</v>
      </c>
      <c r="C75" s="15" t="str">
        <f>REPLACE(B75,1,9,"75662xx")</f>
        <v>75662xx</v>
      </c>
      <c r="D75" s="16" t="s">
        <v>859</v>
      </c>
    </row>
    <row r="76" spans="2:4" ht="15.75" x14ac:dyDescent="0.3">
      <c r="B76" s="14" t="s">
        <v>860</v>
      </c>
      <c r="C76" s="15" t="str">
        <f>REPLACE(B76,1,9,"75665xx")</f>
        <v>75665xx</v>
      </c>
      <c r="D76" s="16" t="s">
        <v>861</v>
      </c>
    </row>
    <row r="77" spans="2:4" ht="15.75" x14ac:dyDescent="0.3">
      <c r="B77" s="14" t="s">
        <v>862</v>
      </c>
      <c r="C77" s="15" t="str">
        <f>REPLACE(B77,1,9,"75663xx")</f>
        <v>75663xx</v>
      </c>
      <c r="D77" s="16" t="s">
        <v>863</v>
      </c>
    </row>
    <row r="78" spans="2:4" ht="15.75" x14ac:dyDescent="0.3">
      <c r="B78" s="14" t="s">
        <v>864</v>
      </c>
      <c r="C78" s="15" t="str">
        <f>REPLACE(B78,1,9,"75661xx")</f>
        <v>75661xx</v>
      </c>
      <c r="D78" s="16" t="s">
        <v>865</v>
      </c>
    </row>
    <row r="79" spans="2:4" ht="15.75" x14ac:dyDescent="0.3">
      <c r="B79" s="14" t="s">
        <v>866</v>
      </c>
      <c r="C79" s="15" t="str">
        <f>REPLACE(B79,1,9,"75664xx")</f>
        <v>75664xx</v>
      </c>
      <c r="D79" s="16" t="s">
        <v>867</v>
      </c>
    </row>
    <row r="80" spans="2:4" ht="15.75" x14ac:dyDescent="0.3">
      <c r="B80" s="14" t="s">
        <v>868</v>
      </c>
      <c r="C80" s="15" t="str">
        <f>REPLACE(B80,1,9,"75672xx")</f>
        <v>75672xx</v>
      </c>
      <c r="D80" s="16" t="s">
        <v>869</v>
      </c>
    </row>
    <row r="81" spans="2:4" ht="15.75" x14ac:dyDescent="0.3">
      <c r="B81" s="14" t="s">
        <v>870</v>
      </c>
      <c r="C81" s="15" t="str">
        <f>REPLACE(B81,1,9,"75671xx")</f>
        <v>75671xx</v>
      </c>
      <c r="D81" s="16" t="s">
        <v>871</v>
      </c>
    </row>
    <row r="82" spans="2:4" ht="15.75" x14ac:dyDescent="0.3">
      <c r="B82" s="14" t="s">
        <v>872</v>
      </c>
      <c r="C82" s="15" t="str">
        <f>REPLACE(B82,1,9,"75673xx")</f>
        <v>75673xx</v>
      </c>
      <c r="D82" s="16" t="s">
        <v>873</v>
      </c>
    </row>
    <row r="83" spans="2:4" ht="15.75" x14ac:dyDescent="0.3">
      <c r="B83" s="14" t="s">
        <v>874</v>
      </c>
      <c r="C83" s="15" t="str">
        <f>REPLACE(B83,1,9,"75102xx")</f>
        <v>75102xx</v>
      </c>
      <c r="D83" s="16" t="s">
        <v>875</v>
      </c>
    </row>
    <row r="84" spans="2:4" ht="15.75" x14ac:dyDescent="0.3">
      <c r="B84" s="14" t="s">
        <v>876</v>
      </c>
      <c r="C84" s="15" t="str">
        <f>REPLACE(B84,1,9,"75103xx")</f>
        <v>75103xx</v>
      </c>
      <c r="D84" s="16" t="s">
        <v>877</v>
      </c>
    </row>
    <row r="85" spans="2:4" ht="15.75" x14ac:dyDescent="0.3">
      <c r="B85" s="14" t="s">
        <v>878</v>
      </c>
      <c r="C85" s="15" t="str">
        <f>REPLACE(B85,1,9,"75104xx")</f>
        <v>75104xx</v>
      </c>
      <c r="D85" s="16" t="s">
        <v>879</v>
      </c>
    </row>
    <row r="86" spans="2:4" ht="15.75" x14ac:dyDescent="0.3">
      <c r="B86" s="14" t="s">
        <v>880</v>
      </c>
      <c r="C86" s="15" t="str">
        <f>REPLACE(B86,1,9,"75101xx")</f>
        <v>75101xx</v>
      </c>
      <c r="D86" s="16" t="s">
        <v>881</v>
      </c>
    </row>
    <row r="87" spans="2:4" ht="15.75" x14ac:dyDescent="0.3">
      <c r="B87" s="14" t="s">
        <v>882</v>
      </c>
      <c r="C87" s="15" t="str">
        <f>REPLACE(B87,1,9,"75105xx")</f>
        <v>75105xx</v>
      </c>
      <c r="D87" s="16" t="s">
        <v>883</v>
      </c>
    </row>
    <row r="88" spans="2:4" ht="15.75" x14ac:dyDescent="0.3">
      <c r="B88" s="14" t="s">
        <v>884</v>
      </c>
      <c r="C88" s="15" t="str">
        <f>REPLACE(B88,1,9,"75122xx")</f>
        <v>75122xx</v>
      </c>
      <c r="D88" s="16" t="s">
        <v>885</v>
      </c>
    </row>
    <row r="89" spans="2:4" ht="15.75" x14ac:dyDescent="0.3">
      <c r="B89" s="14" t="s">
        <v>886</v>
      </c>
      <c r="C89" s="15" t="str">
        <f>REPLACE(B89,1,9,"75123xx")</f>
        <v>75123xx</v>
      </c>
      <c r="D89" s="16" t="s">
        <v>887</v>
      </c>
    </row>
    <row r="90" spans="2:4" ht="15.75" x14ac:dyDescent="0.3">
      <c r="B90" s="14" t="s">
        <v>888</v>
      </c>
      <c r="C90" s="15" t="str">
        <f>REPLACE(B90,1,9,"75124xx")</f>
        <v>75124xx</v>
      </c>
      <c r="D90" s="16" t="s">
        <v>889</v>
      </c>
    </row>
    <row r="91" spans="2:4" ht="15.75" x14ac:dyDescent="0.3">
      <c r="B91" s="14" t="s">
        <v>890</v>
      </c>
      <c r="C91" s="15" t="str">
        <f>REPLACE(B91,1,9,"75121xx")</f>
        <v>75121xx</v>
      </c>
      <c r="D91" s="16" t="s">
        <v>891</v>
      </c>
    </row>
    <row r="92" spans="2:4" ht="15.75" x14ac:dyDescent="0.3">
      <c r="B92" s="14" t="s">
        <v>892</v>
      </c>
      <c r="C92" s="15" t="str">
        <f>REPLACE(B92,1,9,"75125xx")</f>
        <v>75125xx</v>
      </c>
      <c r="D92" s="16" t="s">
        <v>893</v>
      </c>
    </row>
    <row r="93" spans="2:4" ht="15.75" x14ac:dyDescent="0.3">
      <c r="B93" s="14" t="s">
        <v>894</v>
      </c>
      <c r="C93" s="15" t="str">
        <f>REPLACE(B93,1,9,"75142xx")</f>
        <v>75142xx</v>
      </c>
      <c r="D93" s="16" t="s">
        <v>895</v>
      </c>
    </row>
    <row r="94" spans="2:4" ht="15.75" x14ac:dyDescent="0.3">
      <c r="B94" s="14" t="s">
        <v>896</v>
      </c>
      <c r="C94" s="15" t="str">
        <f>REPLACE(B94,1,9,"75143xx")</f>
        <v>75143xx</v>
      </c>
      <c r="D94" s="16" t="s">
        <v>897</v>
      </c>
    </row>
    <row r="95" spans="2:4" ht="15.75" x14ac:dyDescent="0.3">
      <c r="B95" s="14" t="s">
        <v>898</v>
      </c>
      <c r="C95" s="15" t="str">
        <f>REPLACE(B95,1,9,"75141xx")</f>
        <v>75141xx</v>
      </c>
      <c r="D95" s="16" t="s">
        <v>899</v>
      </c>
    </row>
    <row r="96" spans="2:4" ht="15.75" x14ac:dyDescent="0.3">
      <c r="B96" s="14" t="s">
        <v>900</v>
      </c>
      <c r="C96" s="15" t="str">
        <f>REPLACE(B96,1,9,"75144xx")</f>
        <v>75144xx</v>
      </c>
      <c r="D96" s="16" t="s">
        <v>901</v>
      </c>
    </row>
    <row r="97" spans="2:4" ht="15.75" x14ac:dyDescent="0.3">
      <c r="B97" s="14" t="s">
        <v>902</v>
      </c>
      <c r="C97" s="15" t="str">
        <f>REPLACE(B97,1,9,"75201xx")</f>
        <v>75201xx</v>
      </c>
      <c r="D97" s="16" t="s">
        <v>903</v>
      </c>
    </row>
    <row r="98" spans="2:4" ht="15.75" x14ac:dyDescent="0.3">
      <c r="B98" s="14" t="s">
        <v>904</v>
      </c>
      <c r="C98" s="15" t="str">
        <f>REPLACE(B98,1,9,"75198xx")</f>
        <v>75198xx</v>
      </c>
      <c r="D98" s="16" t="s">
        <v>905</v>
      </c>
    </row>
    <row r="99" spans="2:4" ht="15.75" x14ac:dyDescent="0.3">
      <c r="B99" s="14" t="s">
        <v>906</v>
      </c>
      <c r="C99" s="15" t="str">
        <f>REPLACE(B99,1,9,"75189xx")</f>
        <v>75189xx</v>
      </c>
      <c r="D99" s="16" t="s">
        <v>907</v>
      </c>
    </row>
    <row r="100" spans="2:4" ht="15.75" x14ac:dyDescent="0.3">
      <c r="B100" s="14" t="s">
        <v>908</v>
      </c>
      <c r="C100" s="15" t="str">
        <f>REPLACE(B100,1,9,"75183xx")</f>
        <v>75183xx</v>
      </c>
      <c r="D100" s="16" t="s">
        <v>909</v>
      </c>
    </row>
    <row r="101" spans="2:4" ht="15.75" x14ac:dyDescent="0.3">
      <c r="B101" s="14" t="s">
        <v>910</v>
      </c>
      <c r="C101" s="15" t="str">
        <f>REPLACE(B101,1,9,"75184xx")</f>
        <v>75184xx</v>
      </c>
      <c r="D101" s="16" t="s">
        <v>911</v>
      </c>
    </row>
    <row r="102" spans="2:4" ht="15.75" x14ac:dyDescent="0.3">
      <c r="B102" s="14" t="s">
        <v>912</v>
      </c>
      <c r="C102" s="15" t="str">
        <f>REPLACE(B102,1,9,"75182xx")</f>
        <v>75182xx</v>
      </c>
      <c r="D102" s="16" t="s">
        <v>913</v>
      </c>
    </row>
    <row r="103" spans="2:4" ht="15.75" x14ac:dyDescent="0.3">
      <c r="B103" s="14" t="s">
        <v>914</v>
      </c>
      <c r="C103" s="15" t="str">
        <f>REPLACE(B103,1,9,"75187xx")</f>
        <v>75187xx</v>
      </c>
      <c r="D103" s="16" t="s">
        <v>915</v>
      </c>
    </row>
    <row r="104" spans="2:4" ht="15.75" x14ac:dyDescent="0.3">
      <c r="B104" s="14" t="s">
        <v>916</v>
      </c>
      <c r="C104" s="15" t="str">
        <f>REPLACE(B104,1,9,"75205xx")</f>
        <v>75205xx</v>
      </c>
      <c r="D104" s="16" t="s">
        <v>917</v>
      </c>
    </row>
    <row r="105" spans="2:4" ht="15.75" x14ac:dyDescent="0.3">
      <c r="B105" s="14" t="s">
        <v>918</v>
      </c>
      <c r="C105" s="15" t="str">
        <f>REPLACE(B105,1,9,"75203xx")</f>
        <v>75203xx</v>
      </c>
      <c r="D105" s="16" t="s">
        <v>919</v>
      </c>
    </row>
    <row r="106" spans="2:4" ht="15.75" x14ac:dyDescent="0.3">
      <c r="B106" s="14" t="s">
        <v>920</v>
      </c>
      <c r="C106" s="15" t="str">
        <f>REPLACE(B106,1,9,"75185xx")</f>
        <v>75185xx</v>
      </c>
      <c r="D106" s="16" t="s">
        <v>921</v>
      </c>
    </row>
    <row r="107" spans="2:4" ht="15.75" x14ac:dyDescent="0.3">
      <c r="B107" s="14" t="s">
        <v>922</v>
      </c>
      <c r="C107" s="15" t="str">
        <f>REPLACE(B107,1,9,"75204xx")</f>
        <v>75204xx</v>
      </c>
      <c r="D107" s="16" t="s">
        <v>923</v>
      </c>
    </row>
    <row r="108" spans="2:4" ht="15.75" x14ac:dyDescent="0.3">
      <c r="B108" s="14" t="s">
        <v>924</v>
      </c>
      <c r="C108" s="15" t="str">
        <f>REPLACE(B108,1,9,"75181xx")</f>
        <v>75181xx</v>
      </c>
      <c r="D108" s="16" t="s">
        <v>925</v>
      </c>
    </row>
    <row r="109" spans="2:4" ht="15.75" x14ac:dyDescent="0.3">
      <c r="B109" s="14" t="s">
        <v>926</v>
      </c>
      <c r="C109" s="15" t="str">
        <f>REPLACE(B109,1,9,"75188xx")</f>
        <v>75188xx</v>
      </c>
      <c r="D109" s="16" t="s">
        <v>927</v>
      </c>
    </row>
    <row r="110" spans="2:4" ht="15.75" x14ac:dyDescent="0.3">
      <c r="B110" s="14" t="s">
        <v>928</v>
      </c>
      <c r="C110" s="15" t="str">
        <f>REPLACE(B110,1,9,"75199xx")</f>
        <v>75199xx</v>
      </c>
      <c r="D110" s="16" t="s">
        <v>929</v>
      </c>
    </row>
    <row r="111" spans="2:4" ht="15.75" x14ac:dyDescent="0.3">
      <c r="B111" s="14" t="s">
        <v>930</v>
      </c>
      <c r="C111" s="15" t="str">
        <f>REPLACE(B111,1,9,"75195xx")</f>
        <v>75195xx</v>
      </c>
      <c r="D111" s="16" t="s">
        <v>931</v>
      </c>
    </row>
    <row r="112" spans="2:4" ht="15.75" x14ac:dyDescent="0.3">
      <c r="B112" s="14" t="s">
        <v>932</v>
      </c>
      <c r="C112" s="15" t="str">
        <f>REPLACE(B112,1,9,"75191xx")</f>
        <v>75191xx</v>
      </c>
      <c r="D112" s="16" t="s">
        <v>933</v>
      </c>
    </row>
    <row r="113" spans="2:4" ht="15.75" x14ac:dyDescent="0.3">
      <c r="B113" s="14" t="s">
        <v>934</v>
      </c>
      <c r="C113" s="15" t="str">
        <f>REPLACE(B113,1,9,"75186xx")</f>
        <v>75186xx</v>
      </c>
      <c r="D113" s="16" t="s">
        <v>935</v>
      </c>
    </row>
    <row r="114" spans="2:4" ht="15.75" x14ac:dyDescent="0.3">
      <c r="B114" s="14" t="s">
        <v>936</v>
      </c>
      <c r="C114" s="15" t="str">
        <f>REPLACE(B114,1,9,"75194xx")</f>
        <v>75194xx</v>
      </c>
      <c r="D114" s="16" t="s">
        <v>937</v>
      </c>
    </row>
    <row r="115" spans="2:4" ht="15.75" x14ac:dyDescent="0.3">
      <c r="B115" s="14" t="s">
        <v>938</v>
      </c>
      <c r="C115" s="15" t="str">
        <f>REPLACE(B115,1,9,"75193xx")</f>
        <v>75193xx</v>
      </c>
      <c r="D115" s="16" t="s">
        <v>939</v>
      </c>
    </row>
    <row r="116" spans="2:4" ht="15.75" x14ac:dyDescent="0.3">
      <c r="B116" s="14" t="s">
        <v>940</v>
      </c>
      <c r="C116" s="15" t="str">
        <f>REPLACE(B116,1,9,"75192xx")</f>
        <v>75192xx</v>
      </c>
      <c r="D116" s="16" t="s">
        <v>941</v>
      </c>
    </row>
    <row r="117" spans="2:4" ht="15.75" x14ac:dyDescent="0.3">
      <c r="B117" s="14" t="s">
        <v>942</v>
      </c>
      <c r="C117" s="15" t="str">
        <f>REPLACE(B117,1,9,"75196xx")</f>
        <v>75196xx</v>
      </c>
      <c r="D117" s="16" t="s">
        <v>943</v>
      </c>
    </row>
    <row r="118" spans="2:4" ht="15.75" x14ac:dyDescent="0.3">
      <c r="B118" s="14" t="s">
        <v>944</v>
      </c>
      <c r="C118" s="15" t="str">
        <f>REPLACE(B118,1,9,"75202xx")</f>
        <v>75202xx</v>
      </c>
      <c r="D118" s="16" t="s">
        <v>945</v>
      </c>
    </row>
    <row r="119" spans="2:4" ht="15.75" x14ac:dyDescent="0.3">
      <c r="B119" s="14" t="s">
        <v>946</v>
      </c>
      <c r="C119" s="15" t="str">
        <f>REPLACE(B119,1,9,"75197xx")</f>
        <v>75197xx</v>
      </c>
      <c r="D119" s="16" t="s">
        <v>947</v>
      </c>
    </row>
    <row r="120" spans="2:4" ht="15.75" x14ac:dyDescent="0.3">
      <c r="B120" s="14" t="s">
        <v>948</v>
      </c>
      <c r="C120" s="15" t="str">
        <f>REPLACE(B120,1,9,"75212xx")</f>
        <v>75212xx</v>
      </c>
      <c r="D120" s="16" t="s">
        <v>949</v>
      </c>
    </row>
    <row r="121" spans="2:4" ht="15.75" x14ac:dyDescent="0.3">
      <c r="B121" s="14" t="s">
        <v>950</v>
      </c>
      <c r="C121" s="15" t="str">
        <f>REPLACE(B121,1,9,"75213xx")</f>
        <v>75213xx</v>
      </c>
      <c r="D121" s="16" t="s">
        <v>919</v>
      </c>
    </row>
    <row r="122" spans="2:4" ht="15.75" x14ac:dyDescent="0.3">
      <c r="B122" s="14" t="s">
        <v>951</v>
      </c>
      <c r="C122" s="15" t="str">
        <f>REPLACE(B122,1,9,"75211xx")</f>
        <v>75211xx</v>
      </c>
      <c r="D122" s="16" t="s">
        <v>952</v>
      </c>
    </row>
    <row r="123" spans="2:4" ht="15.75" x14ac:dyDescent="0.3">
      <c r="B123" s="14" t="s">
        <v>953</v>
      </c>
      <c r="C123" s="15" t="str">
        <f>REPLACE(B123,1,9,"75222xx")</f>
        <v>75222xx</v>
      </c>
      <c r="D123" s="16" t="s">
        <v>954</v>
      </c>
    </row>
    <row r="124" spans="2:4" ht="15.75" x14ac:dyDescent="0.3">
      <c r="B124" s="14" t="s">
        <v>955</v>
      </c>
      <c r="C124" s="15" t="str">
        <f>REPLACE(B124,1,9,"75223xx")</f>
        <v>75223xx</v>
      </c>
      <c r="D124" s="16" t="s">
        <v>956</v>
      </c>
    </row>
    <row r="125" spans="2:4" ht="15.75" x14ac:dyDescent="0.3">
      <c r="B125" s="14" t="s">
        <v>957</v>
      </c>
      <c r="C125" s="15" t="str">
        <f>REPLACE(B125,1,9,"75224xx")</f>
        <v>75224xx</v>
      </c>
      <c r="D125" s="16" t="s">
        <v>958</v>
      </c>
    </row>
    <row r="126" spans="2:4" ht="15.75" x14ac:dyDescent="0.3">
      <c r="B126" s="14" t="s">
        <v>959</v>
      </c>
      <c r="C126" s="15" t="str">
        <f>REPLACE(B126,1,9,"75221xx")</f>
        <v>75221xx</v>
      </c>
      <c r="D126" s="16" t="s">
        <v>960</v>
      </c>
    </row>
    <row r="127" spans="2:4" ht="15.75" x14ac:dyDescent="0.3">
      <c r="B127" s="14" t="s">
        <v>961</v>
      </c>
      <c r="C127" s="15" t="str">
        <f>REPLACE(B127,1,9,"75225xx")</f>
        <v>75225xx</v>
      </c>
      <c r="D127" s="16" t="s">
        <v>962</v>
      </c>
    </row>
    <row r="128" spans="2:4" ht="15.75" x14ac:dyDescent="0.3">
      <c r="B128" s="14" t="s">
        <v>963</v>
      </c>
      <c r="C128" s="15" t="str">
        <f>REPLACE(B128,1,9,"75242xx")</f>
        <v>75242xx</v>
      </c>
      <c r="D128" s="16" t="s">
        <v>964</v>
      </c>
    </row>
    <row r="129" spans="2:4" ht="15.75" x14ac:dyDescent="0.3">
      <c r="B129" s="14" t="s">
        <v>965</v>
      </c>
      <c r="C129" s="15" t="str">
        <f>REPLACE(B129,1,9,"75248xx")</f>
        <v>75248xx</v>
      </c>
      <c r="D129" s="16" t="s">
        <v>966</v>
      </c>
    </row>
    <row r="130" spans="2:4" ht="15.75" x14ac:dyDescent="0.3">
      <c r="B130" s="14" t="s">
        <v>967</v>
      </c>
      <c r="C130" s="15" t="str">
        <f>REPLACE(B130,1,9,"75243xx")</f>
        <v>75243xx</v>
      </c>
      <c r="D130" s="16" t="s">
        <v>968</v>
      </c>
    </row>
    <row r="131" spans="2:4" ht="15.75" x14ac:dyDescent="0.3">
      <c r="B131" s="14" t="s">
        <v>969</v>
      </c>
      <c r="C131" s="15" t="str">
        <f>REPLACE(B131,1,9,"75253xx")</f>
        <v>75253xx</v>
      </c>
      <c r="D131" s="16" t="s">
        <v>970</v>
      </c>
    </row>
    <row r="132" spans="2:4" ht="15.75" x14ac:dyDescent="0.3">
      <c r="B132" s="14" t="s">
        <v>971</v>
      </c>
      <c r="C132" s="15" t="str">
        <f>REPLACE(B132,1,9,"75245xx")</f>
        <v>75245xx</v>
      </c>
      <c r="D132" s="16" t="s">
        <v>972</v>
      </c>
    </row>
    <row r="133" spans="2:4" ht="15.75" x14ac:dyDescent="0.3">
      <c r="B133" s="14" t="s">
        <v>973</v>
      </c>
      <c r="C133" s="15" t="str">
        <f>REPLACE(B133,1,9,"75241xx")</f>
        <v>75241xx</v>
      </c>
      <c r="D133" s="16" t="s">
        <v>974</v>
      </c>
    </row>
    <row r="134" spans="2:4" ht="15.75" x14ac:dyDescent="0.3">
      <c r="B134" s="14" t="s">
        <v>975</v>
      </c>
      <c r="C134" s="15" t="str">
        <f>REPLACE(B134,1,9,"75254xx")</f>
        <v>75254xx</v>
      </c>
      <c r="D134" s="16" t="s">
        <v>976</v>
      </c>
    </row>
    <row r="135" spans="2:4" ht="15.75" x14ac:dyDescent="0.3">
      <c r="B135" s="14" t="s">
        <v>977</v>
      </c>
      <c r="C135" s="15" t="str">
        <f>REPLACE(B135,1,9,"75247xx")</f>
        <v>75247xx</v>
      </c>
      <c r="D135" s="16" t="s">
        <v>978</v>
      </c>
    </row>
    <row r="136" spans="2:4" ht="15.75" x14ac:dyDescent="0.3">
      <c r="B136" s="14" t="s">
        <v>979</v>
      </c>
      <c r="C136" s="15" t="str">
        <f>REPLACE(B136,1,9,"75251xx")</f>
        <v>75251xx</v>
      </c>
      <c r="D136" s="16" t="s">
        <v>980</v>
      </c>
    </row>
    <row r="137" spans="2:4" ht="15.75" x14ac:dyDescent="0.3">
      <c r="B137" s="14" t="s">
        <v>981</v>
      </c>
      <c r="C137" s="15" t="str">
        <f>REPLACE(B137,1,9,"75252xx")</f>
        <v>75252xx</v>
      </c>
      <c r="D137" s="16" t="s">
        <v>982</v>
      </c>
    </row>
    <row r="138" spans="2:4" ht="15.75" x14ac:dyDescent="0.3">
      <c r="B138" s="14" t="s">
        <v>983</v>
      </c>
      <c r="C138" s="15" t="str">
        <f>REPLACE(B138,1,9,"75249xx")</f>
        <v>75249xx</v>
      </c>
      <c r="D138" s="16" t="s">
        <v>984</v>
      </c>
    </row>
    <row r="139" spans="2:4" ht="15.75" x14ac:dyDescent="0.3">
      <c r="B139" s="14" t="s">
        <v>985</v>
      </c>
      <c r="C139" s="15" t="str">
        <f>REPLACE(B139,1,9,"75246xx")</f>
        <v>75246xx</v>
      </c>
      <c r="D139" s="16" t="s">
        <v>986</v>
      </c>
    </row>
    <row r="140" spans="2:4" ht="15.75" x14ac:dyDescent="0.3">
      <c r="B140" s="14" t="s">
        <v>987</v>
      </c>
      <c r="C140" s="15" t="str">
        <f>REPLACE(B140,1,9,"75244xx")</f>
        <v>75244xx</v>
      </c>
      <c r="D140" s="16" t="s">
        <v>988</v>
      </c>
    </row>
    <row r="141" spans="2:4" ht="15.75" x14ac:dyDescent="0.3">
      <c r="B141" s="14" t="s">
        <v>989</v>
      </c>
      <c r="C141" s="15" t="str">
        <f>REPLACE(B141,1,9,"75281xx")</f>
        <v>75281xx</v>
      </c>
      <c r="D141" s="16" t="s">
        <v>990</v>
      </c>
    </row>
    <row r="142" spans="2:4" ht="15.75" x14ac:dyDescent="0.3">
      <c r="B142" s="14" t="s">
        <v>991</v>
      </c>
      <c r="C142" s="15" t="str">
        <f>REPLACE(B142,1,9,"75274xx")</f>
        <v>75274xx</v>
      </c>
      <c r="D142" s="16" t="s">
        <v>992</v>
      </c>
    </row>
    <row r="143" spans="2:4" ht="15.75" x14ac:dyDescent="0.3">
      <c r="B143" s="14" t="s">
        <v>993</v>
      </c>
      <c r="C143" s="15" t="str">
        <f>REPLACE(B143,1,9,"75272xx")</f>
        <v>75272xx</v>
      </c>
      <c r="D143" s="16" t="s">
        <v>994</v>
      </c>
    </row>
    <row r="144" spans="2:4" ht="15.75" x14ac:dyDescent="0.3">
      <c r="B144" s="14" t="s">
        <v>995</v>
      </c>
      <c r="C144" s="15" t="str">
        <f>REPLACE(B144,1,9,"75284xx")</f>
        <v>75284xx</v>
      </c>
      <c r="D144" s="16" t="s">
        <v>996</v>
      </c>
    </row>
    <row r="145" spans="2:4" ht="15.75" x14ac:dyDescent="0.3">
      <c r="B145" s="14" t="s">
        <v>997</v>
      </c>
      <c r="C145" s="15" t="str">
        <f>REPLACE(B145,1,9,"75277xx")</f>
        <v>75277xx</v>
      </c>
      <c r="D145" s="16" t="s">
        <v>998</v>
      </c>
    </row>
    <row r="146" spans="2:4" ht="15.75" x14ac:dyDescent="0.3">
      <c r="B146" s="14" t="s">
        <v>999</v>
      </c>
      <c r="C146" s="15" t="str">
        <f>REPLACE(B146,1,9,"75278xx")</f>
        <v>75278xx</v>
      </c>
      <c r="D146" s="16" t="s">
        <v>1000</v>
      </c>
    </row>
    <row r="147" spans="2:4" ht="15.75" x14ac:dyDescent="0.3">
      <c r="B147" s="14" t="s">
        <v>1001</v>
      </c>
      <c r="C147" s="15" t="str">
        <f>REPLACE(B147,1,9,"75276xx")</f>
        <v>75276xx</v>
      </c>
      <c r="D147" s="16" t="s">
        <v>1002</v>
      </c>
    </row>
    <row r="148" spans="2:4" ht="15.75" x14ac:dyDescent="0.3">
      <c r="B148" s="14" t="s">
        <v>1003</v>
      </c>
      <c r="C148" s="15" t="str">
        <f>REPLACE(B148,1,9,"75271xx")</f>
        <v>75271xx</v>
      </c>
      <c r="D148" s="16" t="s">
        <v>1004</v>
      </c>
    </row>
    <row r="149" spans="2:4" ht="15.75" x14ac:dyDescent="0.3">
      <c r="B149" s="14" t="s">
        <v>1005</v>
      </c>
      <c r="C149" s="15" t="str">
        <f>REPLACE(B149,1,9,"75275xx")</f>
        <v>75275xx</v>
      </c>
      <c r="D149" s="16" t="s">
        <v>1006</v>
      </c>
    </row>
    <row r="150" spans="2:4" ht="15.75" x14ac:dyDescent="0.3">
      <c r="B150" s="14" t="s">
        <v>1007</v>
      </c>
      <c r="C150" s="15" t="str">
        <f>REPLACE(B150,1,9,"75273xx")</f>
        <v>75273xx</v>
      </c>
      <c r="D150" s="16" t="s">
        <v>1008</v>
      </c>
    </row>
    <row r="151" spans="2:4" ht="15.75" x14ac:dyDescent="0.3">
      <c r="B151" s="14" t="s">
        <v>1009</v>
      </c>
      <c r="C151" s="15" t="str">
        <f>REPLACE(B151,1,9,"75282xx")</f>
        <v>75282xx</v>
      </c>
      <c r="D151" s="16" t="s">
        <v>1010</v>
      </c>
    </row>
    <row r="152" spans="2:4" ht="15.75" x14ac:dyDescent="0.3">
      <c r="B152" s="14" t="s">
        <v>1011</v>
      </c>
      <c r="C152" s="15" t="str">
        <f>REPLACE(B152,1,9,"75283xx")</f>
        <v>75283xx</v>
      </c>
      <c r="D152" s="16" t="s">
        <v>1012</v>
      </c>
    </row>
    <row r="153" spans="2:4" ht="15.75" x14ac:dyDescent="0.3">
      <c r="B153" s="14" t="s">
        <v>1013</v>
      </c>
      <c r="C153" s="15" t="str">
        <f>REPLACE(B153,1,9,"75302xx")</f>
        <v>75302xx</v>
      </c>
      <c r="D153" s="16" t="s">
        <v>1014</v>
      </c>
    </row>
    <row r="154" spans="2:4" ht="15.75" x14ac:dyDescent="0.3">
      <c r="B154" s="14" t="s">
        <v>1015</v>
      </c>
      <c r="C154" s="15" t="str">
        <f>REPLACE(B154,1,9,"75303xx")</f>
        <v>75303xx</v>
      </c>
      <c r="D154" s="16" t="s">
        <v>1016</v>
      </c>
    </row>
    <row r="155" spans="2:4" ht="15.75" x14ac:dyDescent="0.3">
      <c r="B155" s="14" t="s">
        <v>1017</v>
      </c>
      <c r="C155" s="15" t="str">
        <f>REPLACE(B155,1,9,"75301xx")</f>
        <v>75301xx</v>
      </c>
      <c r="D155" s="16" t="s">
        <v>1018</v>
      </c>
    </row>
    <row r="156" spans="2:4" ht="15.75" x14ac:dyDescent="0.3">
      <c r="B156" s="14" t="s">
        <v>1019</v>
      </c>
      <c r="C156" s="15" t="str">
        <f>REPLACE(B156,1,9,"75304xx")</f>
        <v>75304xx</v>
      </c>
      <c r="D156" s="16" t="s">
        <v>1020</v>
      </c>
    </row>
    <row r="157" spans="2:4" ht="15.75" x14ac:dyDescent="0.3">
      <c r="B157" s="14" t="s">
        <v>1021</v>
      </c>
      <c r="C157" s="15" t="str">
        <f>REPLACE(B157,1,9,"75322xx")</f>
        <v>75322xx</v>
      </c>
      <c r="D157" s="16" t="s">
        <v>1022</v>
      </c>
    </row>
    <row r="158" spans="2:4" ht="15.75" x14ac:dyDescent="0.3">
      <c r="B158" s="14" t="s">
        <v>1023</v>
      </c>
      <c r="C158" s="15" t="str">
        <f>REPLACE(B158,1,9,"75323xx")</f>
        <v>75323xx</v>
      </c>
      <c r="D158" s="16" t="s">
        <v>1024</v>
      </c>
    </row>
    <row r="159" spans="2:4" ht="15.75" x14ac:dyDescent="0.3">
      <c r="B159" s="14" t="s">
        <v>1025</v>
      </c>
      <c r="C159" s="15" t="str">
        <f>REPLACE(B159,1,9,"75321xx")</f>
        <v>75321xx</v>
      </c>
      <c r="D159" s="16" t="s">
        <v>1026</v>
      </c>
    </row>
    <row r="160" spans="2:4" ht="15.75" x14ac:dyDescent="0.3">
      <c r="B160" s="14" t="s">
        <v>1027</v>
      </c>
      <c r="C160" s="15" t="str">
        <f>REPLACE(B160,1,9,"75324xx")</f>
        <v>75324xx</v>
      </c>
      <c r="D160" s="16" t="s">
        <v>1028</v>
      </c>
    </row>
    <row r="161" spans="2:4" ht="15.75" x14ac:dyDescent="0.3">
      <c r="B161" s="14" t="s">
        <v>1029</v>
      </c>
      <c r="C161" s="15" t="str">
        <f>REPLACE(B161,1,9,"75342xx")</f>
        <v>75342xx</v>
      </c>
      <c r="D161" s="16" t="s">
        <v>1030</v>
      </c>
    </row>
    <row r="162" spans="2:4" ht="15.75" x14ac:dyDescent="0.3">
      <c r="B162" s="14" t="s">
        <v>1031</v>
      </c>
      <c r="C162" s="15" t="str">
        <f>REPLACE(B162,1,9,"75341xx")</f>
        <v>75341xx</v>
      </c>
      <c r="D162" s="16" t="s">
        <v>1032</v>
      </c>
    </row>
    <row r="163" spans="2:4" ht="15.75" x14ac:dyDescent="0.3">
      <c r="B163" s="14" t="s">
        <v>1033</v>
      </c>
      <c r="C163" s="15" t="str">
        <f>REPLACE(B163,1,9,"75343xx")</f>
        <v>75343xx</v>
      </c>
      <c r="D163" s="16" t="s">
        <v>1034</v>
      </c>
    </row>
    <row r="164" spans="2:4" ht="15.75" x14ac:dyDescent="0.3">
      <c r="B164" s="14" t="s">
        <v>1035</v>
      </c>
      <c r="C164" s="15" t="str">
        <f>REPLACE(B164,1,9,"75344xx")</f>
        <v>75344xx</v>
      </c>
      <c r="D164" s="16" t="s">
        <v>1036</v>
      </c>
    </row>
    <row r="165" spans="2:4" ht="15.75" x14ac:dyDescent="0.3">
      <c r="B165" s="14" t="s">
        <v>1037</v>
      </c>
      <c r="C165" s="15" t="str">
        <f>REPLACE(B165,1,9,"75346xx")</f>
        <v>75346xx</v>
      </c>
      <c r="D165" s="16" t="s">
        <v>1038</v>
      </c>
    </row>
    <row r="166" spans="2:4" ht="15.75" x14ac:dyDescent="0.3">
      <c r="B166" s="14" t="s">
        <v>1039</v>
      </c>
      <c r="C166" s="15" t="str">
        <f>REPLACE(B166,1,9,"75345xx")</f>
        <v>75345xx</v>
      </c>
      <c r="D166" s="16" t="s">
        <v>1040</v>
      </c>
    </row>
    <row r="167" spans="2:4" ht="15.75" x14ac:dyDescent="0.3">
      <c r="B167" s="14" t="s">
        <v>1041</v>
      </c>
      <c r="C167" s="15" t="str">
        <f>REPLACE(B167,1,9,"75362xx")</f>
        <v>75362xx</v>
      </c>
      <c r="D167" s="16" t="s">
        <v>1042</v>
      </c>
    </row>
    <row r="168" spans="2:4" ht="15.75" x14ac:dyDescent="0.3">
      <c r="B168" s="14" t="s">
        <v>1043</v>
      </c>
      <c r="C168" s="15" t="str">
        <f>REPLACE(B168,1,9,"75363xx")</f>
        <v>75363xx</v>
      </c>
      <c r="D168" s="16" t="s">
        <v>1044</v>
      </c>
    </row>
    <row r="169" spans="2:4" ht="15.75" x14ac:dyDescent="0.3">
      <c r="B169" s="14" t="s">
        <v>1045</v>
      </c>
      <c r="C169" s="15" t="str">
        <f>REPLACE(B169,1,9,"75365xx")</f>
        <v>75365xx</v>
      </c>
      <c r="D169" s="16" t="s">
        <v>1046</v>
      </c>
    </row>
    <row r="170" spans="2:4" ht="15.75" x14ac:dyDescent="0.3">
      <c r="B170" s="14" t="s">
        <v>1047</v>
      </c>
      <c r="C170" s="15" t="str">
        <f>REPLACE(B170,1,9,"75361xx")</f>
        <v>75361xx</v>
      </c>
      <c r="D170" s="16" t="s">
        <v>1048</v>
      </c>
    </row>
    <row r="171" spans="2:4" ht="15.75" x14ac:dyDescent="0.3">
      <c r="B171" s="14" t="s">
        <v>1049</v>
      </c>
      <c r="C171" s="15" t="str">
        <f>REPLACE(B171,1,9,"75364xx")</f>
        <v>75364xx</v>
      </c>
      <c r="D171" s="16" t="s">
        <v>1050</v>
      </c>
    </row>
    <row r="172" spans="2:4" ht="15.75" x14ac:dyDescent="0.3">
      <c r="B172" s="14" t="s">
        <v>1051</v>
      </c>
      <c r="C172" s="15" t="str">
        <f>REPLACE(B172,1,9,"75382xx")</f>
        <v>75382xx</v>
      </c>
      <c r="D172" s="16" t="s">
        <v>1052</v>
      </c>
    </row>
    <row r="173" spans="2:4" ht="15.75" x14ac:dyDescent="0.3">
      <c r="B173" s="14" t="s">
        <v>1053</v>
      </c>
      <c r="C173" s="15" t="str">
        <f>REPLACE(B173,1,9,"75388xx")</f>
        <v>75388xx</v>
      </c>
      <c r="D173" s="16" t="s">
        <v>1054</v>
      </c>
    </row>
    <row r="174" spans="2:4" ht="15.75" x14ac:dyDescent="0.3">
      <c r="B174" s="14" t="s">
        <v>1055</v>
      </c>
      <c r="C174" s="15" t="str">
        <f>REPLACE(B174,1,9,"75383xx")</f>
        <v>75383xx</v>
      </c>
      <c r="D174" s="16" t="s">
        <v>1056</v>
      </c>
    </row>
    <row r="175" spans="2:4" ht="15.75" x14ac:dyDescent="0.3">
      <c r="B175" s="14" t="s">
        <v>1057</v>
      </c>
      <c r="C175" s="15" t="str">
        <f>REPLACE(B175,1,9,"75381xx")</f>
        <v>75381xx</v>
      </c>
      <c r="D175" s="16" t="s">
        <v>1058</v>
      </c>
    </row>
    <row r="176" spans="2:4" ht="15.75" x14ac:dyDescent="0.3">
      <c r="B176" s="14" t="s">
        <v>1059</v>
      </c>
      <c r="C176" s="15" t="str">
        <f>REPLACE(B176,1,9,"75384xx")</f>
        <v>75384xx</v>
      </c>
      <c r="D176" s="16" t="s">
        <v>1060</v>
      </c>
    </row>
    <row r="177" spans="2:4" ht="15.75" x14ac:dyDescent="0.3">
      <c r="B177" s="14" t="s">
        <v>1061</v>
      </c>
      <c r="C177" s="15" t="str">
        <f>REPLACE(B177,1,9,"75385xx")</f>
        <v>75385xx</v>
      </c>
      <c r="D177" s="16" t="s">
        <v>1062</v>
      </c>
    </row>
    <row r="178" spans="2:4" ht="15.75" x14ac:dyDescent="0.3">
      <c r="B178" s="14" t="s">
        <v>1063</v>
      </c>
      <c r="C178" s="15" t="str">
        <f>REPLACE(B178,1,9,"75403xx")</f>
        <v>75403xx</v>
      </c>
      <c r="D178" s="16" t="s">
        <v>1064</v>
      </c>
    </row>
    <row r="179" spans="2:4" ht="15.75" x14ac:dyDescent="0.3">
      <c r="B179" s="14" t="s">
        <v>1065</v>
      </c>
      <c r="C179" s="15" t="str">
        <f>REPLACE(B179,1,9,"75404xx")</f>
        <v>75404xx</v>
      </c>
      <c r="D179" s="16" t="s">
        <v>1066</v>
      </c>
    </row>
    <row r="180" spans="2:4" ht="15.75" x14ac:dyDescent="0.3">
      <c r="B180" s="14" t="s">
        <v>1067</v>
      </c>
      <c r="C180" s="15" t="str">
        <f>REPLACE(B180,1,9,"75412xx")</f>
        <v>75412xx</v>
      </c>
      <c r="D180" s="16" t="s">
        <v>1068</v>
      </c>
    </row>
    <row r="181" spans="2:4" ht="15.75" x14ac:dyDescent="0.3">
      <c r="B181" s="14" t="s">
        <v>1069</v>
      </c>
      <c r="C181" s="15" t="str">
        <f>REPLACE(B181,1,9,"75405xx")</f>
        <v>75405xx</v>
      </c>
      <c r="D181" s="16" t="s">
        <v>1070</v>
      </c>
    </row>
    <row r="182" spans="2:4" ht="15.75" x14ac:dyDescent="0.3">
      <c r="B182" s="14" t="s">
        <v>1071</v>
      </c>
      <c r="C182" s="15" t="str">
        <f>REPLACE(B182,1,9,"75402xx")</f>
        <v>75402xx</v>
      </c>
      <c r="D182" s="16" t="s">
        <v>1072</v>
      </c>
    </row>
    <row r="183" spans="2:4" ht="15.75" x14ac:dyDescent="0.3">
      <c r="B183" s="14" t="s">
        <v>1073</v>
      </c>
      <c r="C183" s="15" t="str">
        <f>REPLACE(B183,1,9,"75406xx")</f>
        <v>75406xx</v>
      </c>
      <c r="D183" s="16" t="s">
        <v>1074</v>
      </c>
    </row>
    <row r="184" spans="2:4" ht="15.75" x14ac:dyDescent="0.3">
      <c r="B184" s="14" t="s">
        <v>1075</v>
      </c>
      <c r="C184" s="15" t="str">
        <f>REPLACE(B184,1,9,"75407xx")</f>
        <v>75407xx</v>
      </c>
      <c r="D184" s="16" t="s">
        <v>1076</v>
      </c>
    </row>
    <row r="185" spans="2:4" ht="15.75" x14ac:dyDescent="0.3">
      <c r="B185" s="14" t="s">
        <v>1077</v>
      </c>
      <c r="C185" s="15" t="str">
        <f>REPLACE(B185,1,9,"75408xx")</f>
        <v>75408xx</v>
      </c>
      <c r="D185" s="16" t="s">
        <v>1078</v>
      </c>
    </row>
    <row r="186" spans="2:4" ht="15.75" x14ac:dyDescent="0.3">
      <c r="B186" s="14" t="s">
        <v>1079</v>
      </c>
      <c r="C186" s="15" t="str">
        <f>REPLACE(B186,1,9,"75409xx")</f>
        <v>75409xx</v>
      </c>
      <c r="D186" s="16" t="s">
        <v>1080</v>
      </c>
    </row>
    <row r="187" spans="2:4" ht="15.75" x14ac:dyDescent="0.3">
      <c r="B187" s="14" t="s">
        <v>1081</v>
      </c>
      <c r="C187" s="15" t="str">
        <f>REPLACE(B187,1,9,"75411xx")</f>
        <v>75411xx</v>
      </c>
      <c r="D187" s="16" t="s">
        <v>1082</v>
      </c>
    </row>
    <row r="188" spans="2:4" ht="15.75" x14ac:dyDescent="0.3">
      <c r="B188" s="14" t="s">
        <v>1083</v>
      </c>
      <c r="C188" s="15" t="str">
        <f>REPLACE(B188,1,9,"75401xx")</f>
        <v>75401xx</v>
      </c>
      <c r="D188" s="16" t="s">
        <v>1084</v>
      </c>
    </row>
    <row r="189" spans="2:4" ht="15.75" x14ac:dyDescent="0.3">
      <c r="B189" s="14" t="s">
        <v>1085</v>
      </c>
      <c r="C189" s="15" t="str">
        <f>REPLACE(B189,1,9,"75413xx")</f>
        <v>75413xx</v>
      </c>
      <c r="D189" s="16" t="s">
        <v>1086</v>
      </c>
    </row>
    <row r="190" spans="2:4" ht="15.75" x14ac:dyDescent="0.3">
      <c r="B190" s="14" t="s">
        <v>1087</v>
      </c>
      <c r="C190" s="15" t="str">
        <f>REPLACE(B190,1,9,"75414xx")</f>
        <v>75414xx</v>
      </c>
      <c r="D190" s="16" t="s">
        <v>1088</v>
      </c>
    </row>
    <row r="191" spans="2:4" ht="15.75" x14ac:dyDescent="0.3">
      <c r="B191" s="14" t="s">
        <v>1089</v>
      </c>
      <c r="C191" s="15" t="str">
        <f>REPLACE(B191,1,9,"75415xx")</f>
        <v>75415xx</v>
      </c>
      <c r="D191" s="16" t="s">
        <v>1090</v>
      </c>
    </row>
    <row r="192" spans="2:4" ht="15.75" x14ac:dyDescent="0.3">
      <c r="B192" s="14" t="s">
        <v>1091</v>
      </c>
      <c r="C192" s="15" t="str">
        <f>REPLACE(B192,1,9,"75416xx")</f>
        <v>75416xx</v>
      </c>
      <c r="D192" s="16" t="s">
        <v>1092</v>
      </c>
    </row>
    <row r="193" spans="2:4" ht="15.75" x14ac:dyDescent="0.3">
      <c r="B193" s="14" t="s">
        <v>1093</v>
      </c>
      <c r="C193" s="15" t="str">
        <f>REPLACE(B193,1,9,"75417xx")</f>
        <v>75417xx</v>
      </c>
      <c r="D193" s="16" t="s">
        <v>1094</v>
      </c>
    </row>
    <row r="194" spans="2:4" ht="15.75" x14ac:dyDescent="0.3">
      <c r="B194" s="14" t="s">
        <v>1095</v>
      </c>
      <c r="C194" s="15" t="str">
        <f>REPLACE(B194,1,9,"75418xx")</f>
        <v>75418xx</v>
      </c>
      <c r="D194" s="16" t="s">
        <v>1094</v>
      </c>
    </row>
    <row r="195" spans="2:4" ht="15.75" x14ac:dyDescent="0.3">
      <c r="B195" s="14" t="s">
        <v>1096</v>
      </c>
      <c r="C195" s="15" t="str">
        <f>REPLACE(B195,1,9,"75419xx")</f>
        <v>75419xx</v>
      </c>
      <c r="D195" s="16" t="s">
        <v>1094</v>
      </c>
    </row>
    <row r="196" spans="2:4" ht="15.75" x14ac:dyDescent="0.3">
      <c r="B196" s="14" t="s">
        <v>1097</v>
      </c>
      <c r="C196" s="15" t="str">
        <f>REPLACE(B196,1,9,"75421xx")</f>
        <v>75421xx</v>
      </c>
      <c r="D196" s="16" t="s">
        <v>1098</v>
      </c>
    </row>
    <row r="197" spans="2:4" ht="15.75" x14ac:dyDescent="0.3">
      <c r="B197" s="14" t="s">
        <v>1099</v>
      </c>
      <c r="C197" s="15" t="str">
        <f>REPLACE(B197,1,9,"75422xx")</f>
        <v>75422xx</v>
      </c>
      <c r="D197" s="16" t="s">
        <v>1100</v>
      </c>
    </row>
    <row r="198" spans="2:4" ht="15.75" x14ac:dyDescent="0.3">
      <c r="B198" s="14" t="s">
        <v>1101</v>
      </c>
      <c r="C198" s="15" t="str">
        <f>REPLACE(B198,1,9,"75423xx")</f>
        <v>75423xx</v>
      </c>
      <c r="D198" s="16" t="s">
        <v>1102</v>
      </c>
    </row>
    <row r="199" spans="2:4" ht="15.75" x14ac:dyDescent="0.3">
      <c r="B199" s="14" t="s">
        <v>1103</v>
      </c>
      <c r="C199" s="15" t="str">
        <f>REPLACE(B199,1,9,"75433xx")</f>
        <v>75433xx</v>
      </c>
      <c r="D199" s="16" t="s">
        <v>1104</v>
      </c>
    </row>
    <row r="200" spans="2:4" ht="15.75" x14ac:dyDescent="0.3">
      <c r="B200" s="14" t="s">
        <v>1105</v>
      </c>
      <c r="C200" s="15" t="str">
        <f>REPLACE(B200,1,9,"75437xx")</f>
        <v>75437xx</v>
      </c>
      <c r="D200" s="16" t="s">
        <v>1106</v>
      </c>
    </row>
    <row r="201" spans="2:4" ht="15.75" x14ac:dyDescent="0.3">
      <c r="B201" s="14" t="s">
        <v>1107</v>
      </c>
      <c r="C201" s="15" t="str">
        <f>REPLACE(B201,1,9,"75432xx")</f>
        <v>75432xx</v>
      </c>
      <c r="D201" s="16" t="s">
        <v>1108</v>
      </c>
    </row>
    <row r="202" spans="2:4" ht="15.75" x14ac:dyDescent="0.3">
      <c r="B202" s="14" t="s">
        <v>1109</v>
      </c>
      <c r="C202" s="15" t="str">
        <f>REPLACE(B202,1,9,"75439xx")</f>
        <v>75439xx</v>
      </c>
      <c r="D202" s="16" t="s">
        <v>1110</v>
      </c>
    </row>
    <row r="203" spans="2:4" ht="15.75" x14ac:dyDescent="0.3">
      <c r="B203" s="14" t="s">
        <v>1111</v>
      </c>
      <c r="C203" s="15" t="str">
        <f>REPLACE(B203,1,9,"75452xx")</f>
        <v>75452xx</v>
      </c>
      <c r="D203" s="16" t="s">
        <v>1112</v>
      </c>
    </row>
    <row r="204" spans="2:4" ht="15.75" x14ac:dyDescent="0.3">
      <c r="B204" s="14" t="s">
        <v>1113</v>
      </c>
      <c r="C204" s="15" t="str">
        <f>REPLACE(B204,1,9,"75447xx")</f>
        <v>75447xx</v>
      </c>
      <c r="D204" s="16" t="s">
        <v>1114</v>
      </c>
    </row>
    <row r="205" spans="2:4" ht="15.75" x14ac:dyDescent="0.3">
      <c r="B205" s="14" t="s">
        <v>1115</v>
      </c>
      <c r="C205" s="15" t="str">
        <f>REPLACE(B205,1,9,"75436xx")</f>
        <v>75436xx</v>
      </c>
      <c r="D205" s="16" t="s">
        <v>1116</v>
      </c>
    </row>
    <row r="206" spans="2:4" ht="15.75" x14ac:dyDescent="0.3">
      <c r="B206" s="14" t="s">
        <v>1117</v>
      </c>
      <c r="C206" s="15" t="str">
        <f>REPLACE(B206,1,9,"75442xx")</f>
        <v>75442xx</v>
      </c>
      <c r="D206" s="16" t="s">
        <v>1118</v>
      </c>
    </row>
    <row r="207" spans="2:4" ht="15.75" x14ac:dyDescent="0.3">
      <c r="B207" s="14" t="s">
        <v>1119</v>
      </c>
      <c r="C207" s="15" t="str">
        <f>REPLACE(B207,1,9,"75441xx")</f>
        <v>75441xx</v>
      </c>
      <c r="D207" s="16" t="s">
        <v>1120</v>
      </c>
    </row>
    <row r="208" spans="2:4" ht="15.75" x14ac:dyDescent="0.3">
      <c r="B208" s="14" t="s">
        <v>1121</v>
      </c>
      <c r="C208" s="15" t="str">
        <f>REPLACE(B208,1,9,"75435xx")</f>
        <v>75435xx</v>
      </c>
      <c r="D208" s="16" t="s">
        <v>1122</v>
      </c>
    </row>
    <row r="209" spans="2:4" ht="15.75" x14ac:dyDescent="0.3">
      <c r="B209" s="14" t="s">
        <v>1123</v>
      </c>
      <c r="C209" s="15" t="str">
        <f>REPLACE(B209,1,9,"75431xx")</f>
        <v>75431xx</v>
      </c>
      <c r="D209" s="16" t="s">
        <v>1124</v>
      </c>
    </row>
    <row r="210" spans="2:4" ht="15.75" x14ac:dyDescent="0.3">
      <c r="B210" s="14" t="s">
        <v>1125</v>
      </c>
      <c r="C210" s="15" t="str">
        <f>REPLACE(B210,1,9,"75434xx")</f>
        <v>75434xx</v>
      </c>
      <c r="D210" s="16" t="s">
        <v>1126</v>
      </c>
    </row>
    <row r="211" spans="2:4" ht="15.75" x14ac:dyDescent="0.3">
      <c r="B211" s="14" t="s">
        <v>1127</v>
      </c>
      <c r="C211" s="15" t="str">
        <f>REPLACE(B211,1,9,"75444xx")</f>
        <v>75444xx</v>
      </c>
      <c r="D211" s="16" t="s">
        <v>1128</v>
      </c>
    </row>
    <row r="212" spans="2:4" ht="15.75" x14ac:dyDescent="0.3">
      <c r="B212" s="14" t="s">
        <v>1129</v>
      </c>
      <c r="C212" s="15" t="str">
        <f>REPLACE(B212,1,9,"75449xx")</f>
        <v>75449xx</v>
      </c>
      <c r="D212" s="16" t="s">
        <v>1130</v>
      </c>
    </row>
    <row r="213" spans="2:4" ht="15.75" x14ac:dyDescent="0.3">
      <c r="B213" s="14" t="s">
        <v>1131</v>
      </c>
      <c r="C213" s="15" t="str">
        <f>REPLACE(B213,1,9,"75445xx")</f>
        <v>75445xx</v>
      </c>
      <c r="D213" s="16" t="s">
        <v>1132</v>
      </c>
    </row>
    <row r="214" spans="2:4" ht="15.75" x14ac:dyDescent="0.3">
      <c r="B214" s="14" t="s">
        <v>1133</v>
      </c>
      <c r="C214" s="15" t="str">
        <f>REPLACE(B214,1,9,"75438xx")</f>
        <v>75438xx</v>
      </c>
      <c r="D214" s="16" t="s">
        <v>1134</v>
      </c>
    </row>
    <row r="215" spans="2:4" ht="15.75" x14ac:dyDescent="0.3">
      <c r="B215" s="14" t="s">
        <v>1135</v>
      </c>
      <c r="C215" s="15" t="str">
        <f>REPLACE(B215,1,9,"75446xx")</f>
        <v>75446xx</v>
      </c>
      <c r="D215" s="16" t="s">
        <v>1136</v>
      </c>
    </row>
    <row r="216" spans="2:4" ht="15.75" x14ac:dyDescent="0.3">
      <c r="B216" s="14" t="s">
        <v>1137</v>
      </c>
      <c r="C216" s="15" t="str">
        <f>REPLACE(B216,1,9,"75448xx")</f>
        <v>75448xx</v>
      </c>
      <c r="D216" s="16" t="s">
        <v>1138</v>
      </c>
    </row>
    <row r="217" spans="2:4" ht="15.75" x14ac:dyDescent="0.3">
      <c r="B217" s="14" t="s">
        <v>1139</v>
      </c>
      <c r="C217" s="15" t="str">
        <f>REPLACE(B217,1,9,"75453xx")</f>
        <v>75453xx</v>
      </c>
      <c r="D217" s="16" t="s">
        <v>1140</v>
      </c>
    </row>
    <row r="218" spans="2:4" ht="15.75" x14ac:dyDescent="0.3">
      <c r="B218" s="14" t="s">
        <v>1141</v>
      </c>
      <c r="C218" s="15" t="str">
        <f>REPLACE(B218,1,9,"75443xx")</f>
        <v>75443xx</v>
      </c>
      <c r="D218" s="16" t="s">
        <v>1142</v>
      </c>
    </row>
    <row r="219" spans="2:4" ht="15.75" x14ac:dyDescent="0.3">
      <c r="B219" s="14" t="s">
        <v>1143</v>
      </c>
      <c r="C219" s="15" t="str">
        <f>REPLACE(B219,1,9,"75451xx")</f>
        <v>75451xx</v>
      </c>
      <c r="D219" s="16" t="s">
        <v>1144</v>
      </c>
    </row>
    <row r="220" spans="2:4" ht="15.75" x14ac:dyDescent="0.3">
      <c r="B220" s="14" t="s">
        <v>1145</v>
      </c>
      <c r="C220" s="15" t="str">
        <f>REPLACE(B220,1,9,"75473xx")</f>
        <v>75473xx</v>
      </c>
      <c r="D220" s="16" t="s">
        <v>1146</v>
      </c>
    </row>
    <row r="221" spans="2:4" ht="15.75" x14ac:dyDescent="0.3">
      <c r="B221" s="14" t="s">
        <v>1147</v>
      </c>
      <c r="C221" s="15" t="str">
        <f>REPLACE(B221,1,9,"75475xx")</f>
        <v>75475xx</v>
      </c>
      <c r="D221" s="16" t="s">
        <v>1148</v>
      </c>
    </row>
    <row r="222" spans="2:4" ht="15.75" x14ac:dyDescent="0.3">
      <c r="B222" s="14" t="s">
        <v>1149</v>
      </c>
      <c r="C222" s="15" t="str">
        <f>REPLACE(B222,1,9,"75471xx")</f>
        <v>75471xx</v>
      </c>
      <c r="D222" s="16" t="s">
        <v>1150</v>
      </c>
    </row>
    <row r="223" spans="2:4" ht="15.75" x14ac:dyDescent="0.3">
      <c r="B223" s="14" t="s">
        <v>1151</v>
      </c>
      <c r="C223" s="15" t="str">
        <f>REPLACE(B223,1,9,"75472xx")</f>
        <v>75472xx</v>
      </c>
      <c r="D223" s="16" t="s">
        <v>1152</v>
      </c>
    </row>
    <row r="224" spans="2:4" ht="15.75" x14ac:dyDescent="0.3">
      <c r="B224" s="14" t="s">
        <v>1153</v>
      </c>
      <c r="C224" s="15" t="str">
        <f>REPLACE(B224,1,9,"75474xx")</f>
        <v>75474xx</v>
      </c>
      <c r="D224" s="16" t="s">
        <v>1154</v>
      </c>
    </row>
    <row r="225" spans="2:4" ht="15.75" x14ac:dyDescent="0.3">
      <c r="B225" s="14" t="s">
        <v>1155</v>
      </c>
      <c r="C225" s="15" t="str">
        <f>REPLACE(B225,1,9,"75492xx")</f>
        <v>75492xx</v>
      </c>
      <c r="D225" s="16" t="s">
        <v>1156</v>
      </c>
    </row>
    <row r="226" spans="2:4" ht="15.75" x14ac:dyDescent="0.3">
      <c r="B226" s="14" t="s">
        <v>1157</v>
      </c>
      <c r="C226" s="15" t="str">
        <f>REPLACE(B226,1,9,"75491xx")</f>
        <v>75491xx</v>
      </c>
      <c r="D226" s="16" t="s">
        <v>1158</v>
      </c>
    </row>
    <row r="227" spans="2:4" ht="15.75" x14ac:dyDescent="0.3">
      <c r="B227" s="14" t="s">
        <v>1159</v>
      </c>
      <c r="C227" s="15" t="str">
        <f>REPLACE(B227,1,9,"75493xx")</f>
        <v>75493xx</v>
      </c>
      <c r="D227" s="16" t="s">
        <v>1160</v>
      </c>
    </row>
    <row r="228" spans="2:4" ht="15.75" x14ac:dyDescent="0.3">
      <c r="B228" s="14" t="s">
        <v>1161</v>
      </c>
      <c r="C228" s="15" t="str">
        <f>REPLACE(B228,1,9,"75514xx")</f>
        <v>75514xx</v>
      </c>
      <c r="D228" s="16" t="s">
        <v>1162</v>
      </c>
    </row>
    <row r="229" spans="2:4" ht="15.75" x14ac:dyDescent="0.3">
      <c r="B229" s="14" t="s">
        <v>1163</v>
      </c>
      <c r="C229" s="15" t="str">
        <f>REPLACE(B229,1,9,"75515xx")</f>
        <v>75515xx</v>
      </c>
      <c r="D229" s="16" t="s">
        <v>1164</v>
      </c>
    </row>
    <row r="230" spans="2:4" ht="15.75" x14ac:dyDescent="0.3">
      <c r="B230" s="14" t="s">
        <v>1165</v>
      </c>
      <c r="C230" s="15" t="str">
        <f>REPLACE(B230,1,9,"75517xx")</f>
        <v>75517xx</v>
      </c>
      <c r="D230" s="16" t="s">
        <v>1166</v>
      </c>
    </row>
    <row r="231" spans="2:4" ht="15.75" x14ac:dyDescent="0.3">
      <c r="B231" s="14" t="s">
        <v>1167</v>
      </c>
      <c r="C231" s="15" t="str">
        <f>REPLACE(B231,1,9,"75512xx")</f>
        <v>75512xx</v>
      </c>
      <c r="D231" s="16" t="s">
        <v>1168</v>
      </c>
    </row>
    <row r="232" spans="2:4" ht="15.75" x14ac:dyDescent="0.3">
      <c r="B232" s="14" t="s">
        <v>1169</v>
      </c>
      <c r="C232" s="15" t="str">
        <f>REPLACE(B232,1,9,"75518xx")</f>
        <v>75518xx</v>
      </c>
      <c r="D232" s="16" t="s">
        <v>1170</v>
      </c>
    </row>
    <row r="233" spans="2:4" ht="15.75" x14ac:dyDescent="0.3">
      <c r="B233" s="14" t="s">
        <v>1171</v>
      </c>
      <c r="C233" s="15" t="str">
        <f>REPLACE(B233,1,9,"75519xx")</f>
        <v>75519xx</v>
      </c>
      <c r="D233" s="16" t="s">
        <v>1172</v>
      </c>
    </row>
    <row r="234" spans="2:4" ht="15.75" x14ac:dyDescent="0.3">
      <c r="B234" s="14" t="s">
        <v>1173</v>
      </c>
      <c r="C234" s="15" t="str">
        <f>REPLACE(B234,1,9,"75522xx")</f>
        <v>75522xx</v>
      </c>
      <c r="D234" s="16" t="s">
        <v>1174</v>
      </c>
    </row>
    <row r="235" spans="2:4" ht="15.75" x14ac:dyDescent="0.3">
      <c r="B235" s="14" t="s">
        <v>1175</v>
      </c>
      <c r="C235" s="15" t="str">
        <f>REPLACE(B235,1,9,"75521xx")</f>
        <v>75521xx</v>
      </c>
      <c r="D235" s="16" t="s">
        <v>1176</v>
      </c>
    </row>
    <row r="236" spans="2:4" ht="15.75" x14ac:dyDescent="0.3">
      <c r="B236" s="14" t="s">
        <v>1177</v>
      </c>
      <c r="C236" s="15" t="str">
        <f>REPLACE(B236,1,9,"75524xx")</f>
        <v>75524xx</v>
      </c>
      <c r="D236" s="16" t="s">
        <v>1178</v>
      </c>
    </row>
    <row r="237" spans="2:4" ht="15.75" x14ac:dyDescent="0.3">
      <c r="B237" s="14" t="s">
        <v>1179</v>
      </c>
      <c r="C237" s="15" t="str">
        <f>REPLACE(B237,1,9,"75511xx")</f>
        <v>75511xx</v>
      </c>
      <c r="D237" s="16" t="s">
        <v>1180</v>
      </c>
    </row>
    <row r="238" spans="2:4" ht="15.75" x14ac:dyDescent="0.3">
      <c r="B238" s="14" t="s">
        <v>1181</v>
      </c>
      <c r="C238" s="15" t="str">
        <f>REPLACE(B238,1,9,"75523xx")</f>
        <v>75523xx</v>
      </c>
      <c r="D238" s="16" t="s">
        <v>1182</v>
      </c>
    </row>
    <row r="239" spans="2:4" ht="15.75" x14ac:dyDescent="0.3">
      <c r="B239" s="14" t="s">
        <v>1183</v>
      </c>
      <c r="C239" s="15" t="str">
        <f>REPLACE(B239,1,9,"75552xx")</f>
        <v>75552xx</v>
      </c>
      <c r="D239" s="16" t="s">
        <v>1184</v>
      </c>
    </row>
    <row r="240" spans="2:4" ht="15.75" x14ac:dyDescent="0.3">
      <c r="B240" s="14" t="s">
        <v>1185</v>
      </c>
      <c r="C240" s="15" t="str">
        <f>REPLACE(B240,1,9,"75554xx")</f>
        <v>75554xx</v>
      </c>
      <c r="D240" s="16" t="s">
        <v>1186</v>
      </c>
    </row>
    <row r="241" spans="2:4" ht="15.75" x14ac:dyDescent="0.3">
      <c r="B241" s="14" t="s">
        <v>1187</v>
      </c>
      <c r="C241" s="15" t="str">
        <f>REPLACE(B241,1,9,"75525xx")</f>
        <v>75525xx</v>
      </c>
      <c r="D241" s="16" t="s">
        <v>1188</v>
      </c>
    </row>
    <row r="242" spans="2:4" ht="15.75" x14ac:dyDescent="0.3">
      <c r="B242" s="14" t="s">
        <v>1189</v>
      </c>
      <c r="C242" s="15" t="str">
        <f>REPLACE(B242,1,9,"75526xx")</f>
        <v>75526xx</v>
      </c>
      <c r="D242" s="16" t="s">
        <v>1190</v>
      </c>
    </row>
    <row r="243" spans="2:4" ht="15.75" x14ac:dyDescent="0.3">
      <c r="B243" s="14" t="s">
        <v>1191</v>
      </c>
      <c r="C243" s="15" t="str">
        <f>REPLACE(B243,1,9,"75513xx")</f>
        <v>75513xx</v>
      </c>
      <c r="D243" s="16" t="s">
        <v>1192</v>
      </c>
    </row>
    <row r="244" spans="2:4" ht="15.75" x14ac:dyDescent="0.3">
      <c r="B244" s="14" t="s">
        <v>1193</v>
      </c>
      <c r="C244" s="15" t="str">
        <f>REPLACE(B244,1,9,"75553xx")</f>
        <v>75553xx</v>
      </c>
      <c r="D244" s="16" t="s">
        <v>1194</v>
      </c>
    </row>
    <row r="245" spans="2:4" ht="15.75" x14ac:dyDescent="0.3">
      <c r="B245" s="14" t="s">
        <v>1195</v>
      </c>
      <c r="C245" s="15" t="str">
        <f>REPLACE(B245,1,9,"75516xx")</f>
        <v>75516xx</v>
      </c>
      <c r="D245" s="16" t="s">
        <v>1196</v>
      </c>
    </row>
    <row r="246" spans="2:4" ht="15.75" x14ac:dyDescent="0.3">
      <c r="B246" s="14" t="s">
        <v>1197</v>
      </c>
      <c r="C246" s="15" t="str">
        <f>REPLACE(B246,1,9,"75527xx")</f>
        <v>75527xx</v>
      </c>
      <c r="D246" s="16" t="s">
        <v>1198</v>
      </c>
    </row>
    <row r="247" spans="2:4" ht="15.75" x14ac:dyDescent="0.3">
      <c r="B247" s="14" t="s">
        <v>1199</v>
      </c>
      <c r="C247" s="15" t="str">
        <f>REPLACE(B247,1,9,"75528xx")</f>
        <v>75528xx</v>
      </c>
      <c r="D247" s="16" t="s">
        <v>1200</v>
      </c>
    </row>
    <row r="248" spans="2:4" ht="15.75" x14ac:dyDescent="0.3">
      <c r="B248" s="14" t="s">
        <v>1201</v>
      </c>
      <c r="C248" s="15" t="str">
        <f>REPLACE(B248,1,9,"75555xx")</f>
        <v>75555xx</v>
      </c>
      <c r="D248" s="16" t="s">
        <v>1202</v>
      </c>
    </row>
    <row r="249" spans="2:4" ht="15.75" x14ac:dyDescent="0.3">
      <c r="B249" s="14" t="s">
        <v>1203</v>
      </c>
      <c r="C249" s="15" t="str">
        <f>REPLACE(B249,1,9,"75529xx")</f>
        <v>75529xx</v>
      </c>
      <c r="D249" s="16" t="s">
        <v>1204</v>
      </c>
    </row>
    <row r="250" spans="2:4" ht="15.75" x14ac:dyDescent="0.3">
      <c r="B250" s="14" t="s">
        <v>1205</v>
      </c>
      <c r="C250" s="15" t="str">
        <f>REPLACE(B250,1,9,"75551xx")</f>
        <v>75551xx</v>
      </c>
      <c r="D250" s="16" t="s">
        <v>1206</v>
      </c>
    </row>
    <row r="251" spans="2:4" ht="15.75" x14ac:dyDescent="0.3">
      <c r="B251" s="14" t="s">
        <v>1207</v>
      </c>
      <c r="C251" s="15" t="str">
        <f>REPLACE(B251,1,9,"75532xx")</f>
        <v>75532xx</v>
      </c>
      <c r="D251" s="16" t="s">
        <v>1208</v>
      </c>
    </row>
    <row r="252" spans="2:4" ht="15.75" x14ac:dyDescent="0.3">
      <c r="B252" s="14" t="s">
        <v>1209</v>
      </c>
      <c r="C252" s="15" t="str">
        <f>REPLACE(B252,1,9,"75534xx")</f>
        <v>75534xx</v>
      </c>
      <c r="D252" s="16" t="s">
        <v>1210</v>
      </c>
    </row>
    <row r="253" spans="2:4" ht="15.75" x14ac:dyDescent="0.3">
      <c r="B253" s="14" t="s">
        <v>1211</v>
      </c>
      <c r="C253" s="15" t="str">
        <f>REPLACE(B253,1,9,"75533xx")</f>
        <v>75533xx</v>
      </c>
      <c r="D253" s="16" t="s">
        <v>1212</v>
      </c>
    </row>
    <row r="254" spans="2:4" ht="15.75" x14ac:dyDescent="0.3">
      <c r="B254" s="14" t="s">
        <v>1213</v>
      </c>
      <c r="C254" s="15" t="str">
        <f>REPLACE(B254,1,9,"75531xx")</f>
        <v>75531xx</v>
      </c>
      <c r="D254" s="16" t="s">
        <v>1214</v>
      </c>
    </row>
    <row r="255" spans="2:4" ht="15.75" x14ac:dyDescent="0.3">
      <c r="B255" s="14" t="s">
        <v>1215</v>
      </c>
      <c r="C255" s="15" t="str">
        <f>REPLACE(B255,1,9,"75535xx")</f>
        <v>75535xx</v>
      </c>
      <c r="D255" s="16" t="s">
        <v>1216</v>
      </c>
    </row>
    <row r="256" spans="2:4" ht="15.75" x14ac:dyDescent="0.3">
      <c r="B256" s="14" t="s">
        <v>1217</v>
      </c>
      <c r="C256" s="15" t="str">
        <f>REPLACE(B256,1,9,"75601xx")</f>
        <v>75601xx</v>
      </c>
      <c r="D256" s="16" t="s">
        <v>1218</v>
      </c>
    </row>
    <row r="257" spans="2:4" ht="15.75" x14ac:dyDescent="0.3">
      <c r="B257" s="14" t="s">
        <v>1219</v>
      </c>
      <c r="C257" s="15" t="str">
        <f>REPLACE(B257,1,9,"75609xx")</f>
        <v>75609xx</v>
      </c>
      <c r="D257" s="16" t="s">
        <v>1220</v>
      </c>
    </row>
    <row r="258" spans="2:4" ht="15.75" x14ac:dyDescent="0.3">
      <c r="B258" s="14" t="s">
        <v>1221</v>
      </c>
      <c r="C258" s="15" t="str">
        <f>REPLACE(B258,1,9,"75602xx")</f>
        <v>75602xx</v>
      </c>
      <c r="D258" s="16" t="s">
        <v>1222</v>
      </c>
    </row>
    <row r="259" spans="2:4" ht="15.75" x14ac:dyDescent="0.3">
      <c r="B259" s="14" t="s">
        <v>1223</v>
      </c>
      <c r="C259" s="15" t="str">
        <f>REPLACE(B259,1,9,"75603xx")</f>
        <v>75603xx</v>
      </c>
      <c r="D259" s="16" t="s">
        <v>1224</v>
      </c>
    </row>
    <row r="260" spans="2:4" ht="15.75" x14ac:dyDescent="0.3">
      <c r="B260" s="14" t="s">
        <v>1225</v>
      </c>
      <c r="C260" s="15" t="str">
        <f>REPLACE(B260,1,9,"75952xx")</f>
        <v>75952xx</v>
      </c>
      <c r="D260" s="16" t="s">
        <v>1226</v>
      </c>
    </row>
    <row r="261" spans="2:4" ht="15.75" x14ac:dyDescent="0.3">
      <c r="B261" s="14" t="s">
        <v>1227</v>
      </c>
      <c r="C261" s="15" t="str">
        <f>REPLACE(B261,1,9,"75951xx")</f>
        <v>75951xx</v>
      </c>
      <c r="D261" s="16" t="s">
        <v>1228</v>
      </c>
    </row>
    <row r="262" spans="2:4" ht="15.75" x14ac:dyDescent="0.3">
      <c r="B262" s="14" t="s">
        <v>1229</v>
      </c>
      <c r="C262" s="15" t="str">
        <f>REPLACE(B262,1,9,"75712xx")</f>
        <v>75712xx</v>
      </c>
      <c r="D262" s="16" t="s">
        <v>1230</v>
      </c>
    </row>
    <row r="263" spans="2:4" ht="15.75" x14ac:dyDescent="0.3">
      <c r="B263" s="14" t="s">
        <v>1231</v>
      </c>
      <c r="C263" s="15" t="str">
        <f>REPLACE(B263,1,9,"75711xx")</f>
        <v>75711xx</v>
      </c>
      <c r="D263" s="16" t="s">
        <v>1232</v>
      </c>
    </row>
    <row r="264" spans="2:4" ht="15.75" x14ac:dyDescent="0.3">
      <c r="B264" s="14" t="s">
        <v>1233</v>
      </c>
      <c r="C264" s="15" t="str">
        <f>REPLACE(B264,1,9,"75714xx")</f>
        <v>75714xx</v>
      </c>
      <c r="D264" s="16" t="s">
        <v>1234</v>
      </c>
    </row>
    <row r="265" spans="2:4" ht="15.75" x14ac:dyDescent="0.3">
      <c r="B265" s="14" t="s">
        <v>1235</v>
      </c>
      <c r="C265" s="15" t="str">
        <f>REPLACE(B265,1,9,"75713xx")</f>
        <v>75713xx</v>
      </c>
      <c r="D265" s="16" t="s">
        <v>1236</v>
      </c>
    </row>
    <row r="266" spans="2:4" ht="15.75" x14ac:dyDescent="0.3">
      <c r="B266" s="14" t="s">
        <v>1237</v>
      </c>
      <c r="C266" s="15" t="str">
        <f>REPLACE(B266,1,9,"75732xx")</f>
        <v>75732xx</v>
      </c>
      <c r="D266" s="16" t="s">
        <v>1238</v>
      </c>
    </row>
    <row r="267" spans="2:4" ht="15.75" x14ac:dyDescent="0.3">
      <c r="B267" s="14" t="s">
        <v>1239</v>
      </c>
      <c r="C267" s="15" t="str">
        <f>REPLACE(B267,1,9,"75731xx")</f>
        <v>75731xx</v>
      </c>
      <c r="D267" s="16" t="s">
        <v>1240</v>
      </c>
    </row>
    <row r="268" spans="2:4" ht="15.75" x14ac:dyDescent="0.3">
      <c r="B268" s="14" t="s">
        <v>1241</v>
      </c>
      <c r="C268" s="15" t="str">
        <f>REPLACE(B268,1,9,"75733xx")</f>
        <v>75733xx</v>
      </c>
      <c r="D268" s="16" t="s">
        <v>1242</v>
      </c>
    </row>
    <row r="269" spans="2:4" ht="15.75" x14ac:dyDescent="0.3">
      <c r="B269" s="14" t="s">
        <v>1243</v>
      </c>
      <c r="C269" s="15" t="str">
        <f>REPLACE(B269,1,9,"75742xx")</f>
        <v>75742xx</v>
      </c>
      <c r="D269" s="16" t="s">
        <v>1244</v>
      </c>
    </row>
    <row r="270" spans="2:4" ht="15.75" x14ac:dyDescent="0.3">
      <c r="B270" s="14" t="s">
        <v>1245</v>
      </c>
      <c r="C270" s="15" t="str">
        <f>REPLACE(B270,1,9,"75741xx")</f>
        <v>75741xx</v>
      </c>
      <c r="D270" s="16" t="s">
        <v>1246</v>
      </c>
    </row>
    <row r="271" spans="2:4" ht="15.75" x14ac:dyDescent="0.3">
      <c r="B271" s="14" t="s">
        <v>1247</v>
      </c>
      <c r="C271" s="15" t="str">
        <f>REPLACE(B271,1,9,"75744xx")</f>
        <v>75744xx</v>
      </c>
      <c r="D271" s="16" t="s">
        <v>1248</v>
      </c>
    </row>
    <row r="272" spans="2:4" ht="15.75" x14ac:dyDescent="0.3">
      <c r="B272" s="14" t="s">
        <v>1249</v>
      </c>
      <c r="C272" s="15" t="str">
        <f>REPLACE(B272,1,9,"75743xx")</f>
        <v>75743xx</v>
      </c>
      <c r="D272" s="16" t="s">
        <v>1250</v>
      </c>
    </row>
    <row r="273" spans="2:4" ht="15.75" x14ac:dyDescent="0.3">
      <c r="B273" s="14" t="s">
        <v>1251</v>
      </c>
      <c r="C273" s="15" t="str">
        <f>REPLACE(B273,1,9,"75752xx")</f>
        <v>75752xx</v>
      </c>
      <c r="D273" s="16" t="s">
        <v>1252</v>
      </c>
    </row>
    <row r="274" spans="2:4" ht="15.75" x14ac:dyDescent="0.3">
      <c r="B274" s="14" t="s">
        <v>1253</v>
      </c>
      <c r="C274" s="15" t="str">
        <f>REPLACE(B274,1,9,"75751xx")</f>
        <v>75751xx</v>
      </c>
      <c r="D274" s="16" t="s">
        <v>1254</v>
      </c>
    </row>
    <row r="275" spans="2:4" ht="15.75" x14ac:dyDescent="0.3">
      <c r="B275" s="14" t="s">
        <v>1255</v>
      </c>
      <c r="C275" s="15" t="str">
        <f>REPLACE(B275,1,9,"75753xx")</f>
        <v>75753xx</v>
      </c>
      <c r="D275" s="16" t="s">
        <v>1256</v>
      </c>
    </row>
    <row r="276" spans="2:4" ht="15.75" x14ac:dyDescent="0.3">
      <c r="B276" s="14" t="s">
        <v>1257</v>
      </c>
      <c r="C276" s="15" t="str">
        <f>REPLACE(B276,1,9,"75764xx")</f>
        <v>75764xx</v>
      </c>
      <c r="D276" s="16" t="s">
        <v>1258</v>
      </c>
    </row>
    <row r="277" spans="2:4" ht="15.75" x14ac:dyDescent="0.3">
      <c r="B277" s="14" t="s">
        <v>1259</v>
      </c>
      <c r="C277" s="15" t="str">
        <f>REPLACE(B277,1,9,"75765xx")</f>
        <v>75765xx</v>
      </c>
      <c r="D277" s="16" t="s">
        <v>1258</v>
      </c>
    </row>
    <row r="278" spans="2:4" ht="15.75" x14ac:dyDescent="0.3">
      <c r="B278" s="14" t="s">
        <v>1260</v>
      </c>
      <c r="C278" s="15" t="str">
        <f>REPLACE(B278,1,9,"75763xx")</f>
        <v>75763xx</v>
      </c>
      <c r="D278" s="16" t="s">
        <v>1261</v>
      </c>
    </row>
    <row r="279" spans="2:4" ht="15.75" x14ac:dyDescent="0.3">
      <c r="B279" s="14" t="s">
        <v>1262</v>
      </c>
      <c r="C279" s="15" t="str">
        <f>REPLACE(B279,1,9,"75761xx")</f>
        <v>75761xx</v>
      </c>
      <c r="D279" s="16" t="s">
        <v>1263</v>
      </c>
    </row>
    <row r="280" spans="2:4" ht="15.75" x14ac:dyDescent="0.3">
      <c r="B280" s="14" t="s">
        <v>1264</v>
      </c>
      <c r="C280" s="15" t="str">
        <f>REPLACE(B280,1,9,"75762xx")</f>
        <v>75762xx</v>
      </c>
      <c r="D280" s="16" t="s">
        <v>1265</v>
      </c>
    </row>
    <row r="281" spans="2:4" ht="15.75" x14ac:dyDescent="0.3">
      <c r="B281" s="14" t="s">
        <v>1266</v>
      </c>
      <c r="C281" s="15" t="str">
        <f>REPLACE(B281,1,9,"75772xx")</f>
        <v>75772xx</v>
      </c>
      <c r="D281" s="16" t="s">
        <v>1267</v>
      </c>
    </row>
    <row r="282" spans="2:4" ht="15.75" x14ac:dyDescent="0.3">
      <c r="B282" s="14" t="s">
        <v>1268</v>
      </c>
      <c r="C282" s="15" t="str">
        <f>REPLACE(B282,1,9,"75771xx")</f>
        <v>75771xx</v>
      </c>
      <c r="D282" s="16" t="s">
        <v>1269</v>
      </c>
    </row>
    <row r="283" spans="2:4" ht="15.75" x14ac:dyDescent="0.3">
      <c r="B283" s="14" t="s">
        <v>1270</v>
      </c>
      <c r="C283" s="15" t="str">
        <f>REPLACE(B283,1,9,"75773xx")</f>
        <v>75773xx</v>
      </c>
      <c r="D283" s="16" t="s">
        <v>1271</v>
      </c>
    </row>
    <row r="284" spans="2:4" ht="15.75" x14ac:dyDescent="0.3">
      <c r="B284" s="14" t="s">
        <v>1272</v>
      </c>
      <c r="C284" s="15" t="str">
        <f>REPLACE(B284,1,9,"75781xx")</f>
        <v>75781xx</v>
      </c>
      <c r="D284" s="16" t="s">
        <v>1273</v>
      </c>
    </row>
    <row r="285" spans="2:4" ht="15.75" x14ac:dyDescent="0.3">
      <c r="B285" s="14" t="s">
        <v>1274</v>
      </c>
      <c r="C285" s="15" t="str">
        <f>REPLACE(B285,1,9,"75783xx")</f>
        <v>75783xx</v>
      </c>
      <c r="D285" s="16" t="s">
        <v>1275</v>
      </c>
    </row>
    <row r="286" spans="2:4" ht="15.75" x14ac:dyDescent="0.3">
      <c r="B286" s="14" t="s">
        <v>1276</v>
      </c>
      <c r="C286" s="15" t="str">
        <f>REPLACE(B286,1,9,"75791xx")</f>
        <v>75791xx</v>
      </c>
      <c r="D286" s="16" t="s">
        <v>1277</v>
      </c>
    </row>
    <row r="287" spans="2:4" ht="15.75" x14ac:dyDescent="0.3">
      <c r="B287" s="14" t="s">
        <v>1278</v>
      </c>
      <c r="C287" s="15" t="str">
        <f>REPLACE(B287,1,9,"75793xx")</f>
        <v>75793xx</v>
      </c>
      <c r="D287" s="16" t="s">
        <v>1279</v>
      </c>
    </row>
    <row r="288" spans="2:4" ht="15.75" x14ac:dyDescent="0.3">
      <c r="B288" s="14" t="s">
        <v>1280</v>
      </c>
      <c r="C288" s="15" t="str">
        <f>REPLACE(B288,1,9,"75792xx")</f>
        <v>75792xx</v>
      </c>
      <c r="D288" s="16" t="s">
        <v>1281</v>
      </c>
    </row>
    <row r="289" spans="2:4" ht="15.75" x14ac:dyDescent="0.3">
      <c r="B289" s="14" t="s">
        <v>1282</v>
      </c>
      <c r="C289" s="15" t="str">
        <f>REPLACE(B289,1,9,"75801xx")</f>
        <v>75801xx</v>
      </c>
      <c r="D289" s="16" t="s">
        <v>1283</v>
      </c>
    </row>
    <row r="290" spans="2:4" ht="15.75" x14ac:dyDescent="0.3">
      <c r="B290" s="14" t="s">
        <v>1284</v>
      </c>
      <c r="C290" s="15" t="str">
        <f>REPLACE(B290,1,9,"75802xx")</f>
        <v>75802xx</v>
      </c>
      <c r="D290" s="16" t="s">
        <v>1285</v>
      </c>
    </row>
    <row r="291" spans="2:4" ht="15.75" x14ac:dyDescent="0.3">
      <c r="B291" s="14" t="s">
        <v>1286</v>
      </c>
      <c r="C291" s="15" t="str">
        <f>REPLACE(B291,1,9,"75812xx")</f>
        <v>75812xx</v>
      </c>
      <c r="D291" s="16" t="s">
        <v>1287</v>
      </c>
    </row>
    <row r="292" spans="2:4" ht="15.75" x14ac:dyDescent="0.3">
      <c r="B292" s="14" t="s">
        <v>1288</v>
      </c>
      <c r="C292" s="15" t="str">
        <f>REPLACE(B292,1,9,"75811xx")</f>
        <v>75811xx</v>
      </c>
      <c r="D292" s="16" t="s">
        <v>1289</v>
      </c>
    </row>
    <row r="293" spans="2:4" ht="15.75" x14ac:dyDescent="0.3">
      <c r="B293" s="14" t="s">
        <v>1290</v>
      </c>
      <c r="C293" s="15" t="str">
        <f>REPLACE(B293,1,9,"75814xx")</f>
        <v>75814xx</v>
      </c>
      <c r="D293" s="16" t="s">
        <v>1291</v>
      </c>
    </row>
    <row r="294" spans="2:4" ht="15.75" x14ac:dyDescent="0.3">
      <c r="B294" s="14" t="s">
        <v>1292</v>
      </c>
      <c r="C294" s="15" t="str">
        <f>REPLACE(B294,1,9,"75813xx")</f>
        <v>75813xx</v>
      </c>
      <c r="D294" s="16" t="s">
        <v>1293</v>
      </c>
    </row>
    <row r="295" spans="2:4" ht="15.75" x14ac:dyDescent="0.3">
      <c r="B295" s="14" t="s">
        <v>1294</v>
      </c>
      <c r="C295" s="15" t="str">
        <f>REPLACE(B295,1,9,"75822xx")</f>
        <v>75822xx</v>
      </c>
      <c r="D295" s="16" t="s">
        <v>1295</v>
      </c>
    </row>
    <row r="296" spans="2:4" ht="15.75" x14ac:dyDescent="0.3">
      <c r="B296" s="14" t="s">
        <v>1296</v>
      </c>
      <c r="C296" s="15" t="str">
        <f>REPLACE(B296,1,9,"75821xx")</f>
        <v>75821xx</v>
      </c>
      <c r="D296" s="16" t="s">
        <v>1297</v>
      </c>
    </row>
    <row r="297" spans="2:4" ht="15.75" x14ac:dyDescent="0.3">
      <c r="B297" s="14" t="s">
        <v>1298</v>
      </c>
      <c r="C297" s="15" t="str">
        <f>REPLACE(B297,1,9,"75823xx")</f>
        <v>75823xx</v>
      </c>
      <c r="D297" s="16" t="s">
        <v>1299</v>
      </c>
    </row>
    <row r="298" spans="2:4" ht="15.75" x14ac:dyDescent="0.3">
      <c r="B298" s="14" t="s">
        <v>1300</v>
      </c>
      <c r="C298" s="15" t="str">
        <f>REPLACE(B298,1,9,"75162xx")</f>
        <v>75162xx</v>
      </c>
      <c r="D298" s="16" t="s">
        <v>1301</v>
      </c>
    </row>
    <row r="299" spans="2:4" ht="15.75" x14ac:dyDescent="0.3">
      <c r="B299" s="14" t="s">
        <v>1302</v>
      </c>
      <c r="C299" s="15" t="str">
        <f>REPLACE(B299,1,9,"75163xx")</f>
        <v>75163xx</v>
      </c>
      <c r="D299" s="16" t="s">
        <v>1303</v>
      </c>
    </row>
    <row r="300" spans="2:4" ht="15.75" x14ac:dyDescent="0.3">
      <c r="B300" s="14" t="s">
        <v>1304</v>
      </c>
      <c r="C300" s="15" t="str">
        <f>REPLACE(B300,1,9,"75164xx")</f>
        <v>75164xx</v>
      </c>
      <c r="D300" s="16" t="s">
        <v>1305</v>
      </c>
    </row>
    <row r="301" spans="2:4" ht="15.75" x14ac:dyDescent="0.3">
      <c r="B301" s="14" t="s">
        <v>1306</v>
      </c>
      <c r="C301" s="15" t="str">
        <f>REPLACE(B301,1,9,"75161xx")</f>
        <v>75161xx</v>
      </c>
      <c r="D301" s="16" t="s">
        <v>1307</v>
      </c>
    </row>
    <row r="302" spans="2:4" ht="15.75" x14ac:dyDescent="0.3">
      <c r="B302" s="14" t="s">
        <v>1308</v>
      </c>
      <c r="C302" s="15" t="str">
        <f>REPLACE(B302,1,9,"75165xx")</f>
        <v>75165xx</v>
      </c>
      <c r="D302" s="16" t="s">
        <v>1309</v>
      </c>
    </row>
    <row r="303" spans="2:4" ht="15.75" x14ac:dyDescent="0.3">
      <c r="B303" s="14" t="s">
        <v>1310</v>
      </c>
      <c r="C303" s="15" t="str">
        <f>REPLACE(B303,1,9,"79201xx")</f>
        <v>79201xx</v>
      </c>
      <c r="D303" s="16" t="s">
        <v>1311</v>
      </c>
    </row>
    <row r="304" spans="2:4" ht="15.75" x14ac:dyDescent="0.3">
      <c r="B304" s="14" t="s">
        <v>1312</v>
      </c>
      <c r="C304" s="15" t="str">
        <f>REPLACE(B304,1,9,"79203xx")</f>
        <v>79203xx</v>
      </c>
      <c r="D304" s="16" t="s">
        <v>1313</v>
      </c>
    </row>
    <row r="305" spans="2:4" ht="15.75" x14ac:dyDescent="0.3">
      <c r="B305" s="14" t="s">
        <v>1314</v>
      </c>
      <c r="C305" s="15" t="str">
        <f>REPLACE(B305,1,9,"79204xx")</f>
        <v>79204xx</v>
      </c>
      <c r="D305" s="16" t="s">
        <v>1315</v>
      </c>
    </row>
    <row r="306" spans="2:4" ht="15.75" x14ac:dyDescent="0.3">
      <c r="B306" s="14" t="s">
        <v>1316</v>
      </c>
      <c r="C306" s="15" t="str">
        <f>REPLACE(B306,1,9,"79202xx")</f>
        <v>79202xx</v>
      </c>
      <c r="D306" s="16" t="s">
        <v>1317</v>
      </c>
    </row>
    <row r="307" spans="2:4" ht="15.75" x14ac:dyDescent="0.3">
      <c r="B307" s="14" t="s">
        <v>1318</v>
      </c>
      <c r="C307" s="15" t="str">
        <f>REPLACE(B307,1,9,"79205xx")</f>
        <v>79205xx</v>
      </c>
      <c r="D307" s="16" t="s">
        <v>1319</v>
      </c>
    </row>
    <row r="308" spans="2:4" ht="15.75" x14ac:dyDescent="0.3">
      <c r="B308" s="14" t="s">
        <v>1320</v>
      </c>
      <c r="C308" s="15" t="str">
        <f>REPLACE(B308,1,9,"79025xx")</f>
        <v>79025xx</v>
      </c>
      <c r="D308" s="16" t="s">
        <v>1321</v>
      </c>
    </row>
    <row r="309" spans="2:4" ht="15.75" x14ac:dyDescent="0.3">
      <c r="B309" s="14" t="s">
        <v>1322</v>
      </c>
      <c r="C309" s="15" t="str">
        <f>REPLACE(B309,1,9,"79021xx")</f>
        <v>79021xx</v>
      </c>
      <c r="D309" s="16" t="s">
        <v>130</v>
      </c>
    </row>
    <row r="310" spans="2:4" ht="15.75" x14ac:dyDescent="0.3">
      <c r="B310" s="14" t="s">
        <v>1323</v>
      </c>
      <c r="C310" s="15" t="str">
        <f>REPLACE(B310,1,9,"79024xx")</f>
        <v>79024xx</v>
      </c>
      <c r="D310" s="16" t="s">
        <v>1324</v>
      </c>
    </row>
    <row r="311" spans="2:4" ht="15.75" x14ac:dyDescent="0.3">
      <c r="B311" s="14" t="s">
        <v>1325</v>
      </c>
      <c r="C311" s="15" t="str">
        <f>REPLACE(B311,1,9,"79022xx")</f>
        <v>79022xx</v>
      </c>
      <c r="D311" s="16" t="s">
        <v>1326</v>
      </c>
    </row>
    <row r="312" spans="2:4" ht="15.75" x14ac:dyDescent="0.3">
      <c r="B312" s="14" t="s">
        <v>1327</v>
      </c>
      <c r="C312" s="15" t="str">
        <f>REPLACE(B312,1,9,"79023xx")</f>
        <v>79023xx</v>
      </c>
      <c r="D312" s="16" t="s">
        <v>1328</v>
      </c>
    </row>
    <row r="313" spans="2:4" ht="15.75" x14ac:dyDescent="0.3">
      <c r="B313" s="14" t="s">
        <v>1329</v>
      </c>
      <c r="C313" s="15" t="str">
        <f>REPLACE(B313,1,9,"79031xx")</f>
        <v>79031xx</v>
      </c>
      <c r="D313" s="16" t="s">
        <v>132</v>
      </c>
    </row>
    <row r="314" spans="2:4" ht="15.75" x14ac:dyDescent="0.3">
      <c r="B314" s="14" t="s">
        <v>1330</v>
      </c>
      <c r="C314" s="15" t="str">
        <f>REPLACE(B314,1,9,"79041xx")</f>
        <v>79041xx</v>
      </c>
      <c r="D314" s="16" t="s">
        <v>134</v>
      </c>
    </row>
    <row r="315" spans="2:4" ht="15.75" x14ac:dyDescent="0.3">
      <c r="B315" s="14" t="s">
        <v>1331</v>
      </c>
      <c r="C315" s="15" t="str">
        <f>REPLACE(B315,1,9,"79101xx")</f>
        <v>79101xx</v>
      </c>
      <c r="D315" s="16" t="s">
        <v>136</v>
      </c>
    </row>
    <row r="316" spans="2:4" ht="15.75" x14ac:dyDescent="0.3">
      <c r="B316" s="14" t="s">
        <v>1332</v>
      </c>
      <c r="C316" s="15" t="str">
        <f>REPLACE(B316,1,9,"79121xx")</f>
        <v>79121xx</v>
      </c>
      <c r="D316" s="16" t="s">
        <v>138</v>
      </c>
    </row>
    <row r="317" spans="2:4" ht="15.75" x14ac:dyDescent="0.3">
      <c r="B317" s="14" t="s">
        <v>1333</v>
      </c>
      <c r="C317" s="15" t="str">
        <f>REPLACE(B317,1,9,"79131xx")</f>
        <v>79131xx</v>
      </c>
      <c r="D317" s="16" t="s">
        <v>140</v>
      </c>
    </row>
    <row r="318" spans="2:4" ht="15.75" x14ac:dyDescent="0.3">
      <c r="B318" s="14" t="s">
        <v>1334</v>
      </c>
      <c r="C318" s="15" t="str">
        <f>REPLACE(B318,1,9,"79011xx")</f>
        <v>79011xx</v>
      </c>
      <c r="D318" s="16" t="s">
        <v>7</v>
      </c>
    </row>
    <row r="319" spans="2:4" ht="15.75" x14ac:dyDescent="0.3">
      <c r="B319" s="14" t="s">
        <v>1335</v>
      </c>
      <c r="C319" s="15" t="str">
        <f>REPLACE(B319,1,9,"80021xx")</f>
        <v>80021xx</v>
      </c>
      <c r="D319" s="16" t="s">
        <v>143</v>
      </c>
    </row>
    <row r="320" spans="2:4" ht="15.75" x14ac:dyDescent="0.3">
      <c r="B320" s="14" t="s">
        <v>1336</v>
      </c>
      <c r="C320" s="15" t="str">
        <f>REPLACE(B320,1,9,"80031xx")</f>
        <v>80031xx</v>
      </c>
      <c r="D320" s="16" t="s">
        <v>145</v>
      </c>
    </row>
    <row r="321" spans="2:4" ht="15.75" x14ac:dyDescent="0.3">
      <c r="B321" s="14" t="s">
        <v>1337</v>
      </c>
      <c r="C321" s="15" t="str">
        <f>REPLACE(B321,1,9,"80041xx")</f>
        <v>80041xx</v>
      </c>
      <c r="D321" s="16" t="s">
        <v>147</v>
      </c>
    </row>
    <row r="322" spans="2:4" ht="15.75" x14ac:dyDescent="0.3">
      <c r="B322" s="14" t="s">
        <v>1338</v>
      </c>
      <c r="C322" s="15" t="str">
        <f>REPLACE(B322,1,9,"80051xx")</f>
        <v>80051xx</v>
      </c>
      <c r="D322" s="16" t="s">
        <v>149</v>
      </c>
    </row>
    <row r="323" spans="2:4" ht="15.75" x14ac:dyDescent="0.3">
      <c r="B323" s="14" t="s">
        <v>1339</v>
      </c>
      <c r="C323" s="15" t="str">
        <f>REPLACE(B323,1,9,"80301xx")</f>
        <v>80301xx</v>
      </c>
      <c r="D323" s="16" t="s">
        <v>151</v>
      </c>
    </row>
    <row r="324" spans="2:4" ht="15.75" x14ac:dyDescent="0.3">
      <c r="B324" s="14" t="s">
        <v>1340</v>
      </c>
      <c r="C324" s="15" t="str">
        <f>REPLACE(B324,1,9,"80011xx")</f>
        <v>80011xx</v>
      </c>
      <c r="D324" s="16" t="s">
        <v>153</v>
      </c>
    </row>
    <row r="325" spans="2:4" ht="15.75" x14ac:dyDescent="0.3">
      <c r="B325" s="14" t="s">
        <v>1341</v>
      </c>
      <c r="C325" s="15" t="str">
        <f>REPLACE(B325,1,9,"80101xx")</f>
        <v>80101xx</v>
      </c>
      <c r="D325" s="16" t="s">
        <v>155</v>
      </c>
    </row>
    <row r="326" spans="2:4" ht="15.75" x14ac:dyDescent="0.3">
      <c r="B326" s="14" t="s">
        <v>1342</v>
      </c>
      <c r="C326" s="15" t="str">
        <f>REPLACE(B326,1,9,"80201xx")</f>
        <v>80201xx</v>
      </c>
      <c r="D326" s="16" t="s">
        <v>157</v>
      </c>
    </row>
    <row r="327" spans="2:4" ht="15.75" x14ac:dyDescent="0.3">
      <c r="B327" s="14" t="s">
        <v>1343</v>
      </c>
      <c r="C327" s="15" t="str">
        <f>REPLACE(B327,1,9,"82023xx")</f>
        <v>82023xx</v>
      </c>
      <c r="D327" s="16" t="s">
        <v>1344</v>
      </c>
    </row>
    <row r="328" spans="2:4" ht="15.75" x14ac:dyDescent="0.3">
      <c r="B328" s="14" t="s">
        <v>1345</v>
      </c>
      <c r="C328" s="15" t="str">
        <f>REPLACE(B328,1,9,"82027xx")</f>
        <v>82027xx</v>
      </c>
      <c r="D328" s="16" t="s">
        <v>1346</v>
      </c>
    </row>
    <row r="329" spans="2:4" ht="15.75" x14ac:dyDescent="0.3">
      <c r="B329" s="14" t="s">
        <v>1347</v>
      </c>
      <c r="C329" s="15" t="str">
        <f>REPLACE(B329,1,9,"82022xx")</f>
        <v>82022xx</v>
      </c>
      <c r="D329" s="16" t="s">
        <v>1348</v>
      </c>
    </row>
    <row r="330" spans="2:4" ht="15.75" x14ac:dyDescent="0.3">
      <c r="B330" s="14" t="s">
        <v>1349</v>
      </c>
      <c r="C330" s="15" t="str">
        <f>REPLACE(B330,1,9,"82024xx")</f>
        <v>82024xx</v>
      </c>
      <c r="D330" s="16" t="s">
        <v>1350</v>
      </c>
    </row>
    <row r="331" spans="2:4" ht="15.75" x14ac:dyDescent="0.3">
      <c r="B331" s="14" t="s">
        <v>1351</v>
      </c>
      <c r="C331" s="15" t="str">
        <f>REPLACE(B331,1,9,"82011xx")</f>
        <v>82011xx</v>
      </c>
      <c r="D331" s="16" t="s">
        <v>1352</v>
      </c>
    </row>
    <row r="332" spans="2:4" ht="15.75" x14ac:dyDescent="0.3">
      <c r="B332" s="14" t="s">
        <v>1353</v>
      </c>
      <c r="C332" s="15" t="str">
        <f>REPLACE(B332,1,9,"82025xx")</f>
        <v>82025xx</v>
      </c>
      <c r="D332" s="16" t="s">
        <v>1354</v>
      </c>
    </row>
    <row r="333" spans="2:4" ht="15.75" x14ac:dyDescent="0.3">
      <c r="B333" s="14" t="s">
        <v>1355</v>
      </c>
      <c r="C333" s="15" t="str">
        <f>REPLACE(B333,1,9,"82026xx")</f>
        <v>82026xx</v>
      </c>
      <c r="D333" s="16" t="s">
        <v>1356</v>
      </c>
    </row>
    <row r="334" spans="2:4" ht="15.75" x14ac:dyDescent="0.3">
      <c r="B334" s="14" t="s">
        <v>1357</v>
      </c>
      <c r="C334" s="15" t="str">
        <f>REPLACE(B334,1,9,"82302xx")</f>
        <v>82302xx</v>
      </c>
      <c r="D334" s="16" t="s">
        <v>1358</v>
      </c>
    </row>
    <row r="335" spans="2:4" ht="15.75" x14ac:dyDescent="0.3">
      <c r="B335" s="14" t="s">
        <v>1359</v>
      </c>
      <c r="C335" s="15" t="str">
        <f>REPLACE(B335,1,9,"82301xx")</f>
        <v>82301xx</v>
      </c>
      <c r="D335" s="16" t="s">
        <v>1360</v>
      </c>
    </row>
    <row r="336" spans="2:4" ht="15.75" x14ac:dyDescent="0.3">
      <c r="B336" s="14" t="s">
        <v>1361</v>
      </c>
      <c r="C336" s="15" t="str">
        <f>REPLACE(B336,1,9,"82304xx")</f>
        <v>82304xx</v>
      </c>
      <c r="D336" s="16" t="s">
        <v>1362</v>
      </c>
    </row>
    <row r="337" spans="2:4" ht="15.75" x14ac:dyDescent="0.3">
      <c r="B337" s="14" t="s">
        <v>1363</v>
      </c>
      <c r="C337" s="15" t="str">
        <f>REPLACE(B337,1,9,"82312xx")</f>
        <v>82312xx</v>
      </c>
      <c r="D337" s="16" t="s">
        <v>1364</v>
      </c>
    </row>
    <row r="338" spans="2:4" ht="15.75" x14ac:dyDescent="0.3">
      <c r="B338" s="14" t="s">
        <v>1365</v>
      </c>
      <c r="C338" s="15" t="str">
        <f>REPLACE(B338,1,9,"82311xx")</f>
        <v>82311xx</v>
      </c>
      <c r="D338" s="16" t="s">
        <v>1366</v>
      </c>
    </row>
    <row r="339" spans="2:4" ht="15.75" x14ac:dyDescent="0.3">
      <c r="B339" s="14" t="s">
        <v>1367</v>
      </c>
      <c r="C339" s="15" t="str">
        <f>REPLACE(B339,1,9,"82314xx")</f>
        <v>82314xx</v>
      </c>
      <c r="D339" s="16" t="s">
        <v>1368</v>
      </c>
    </row>
    <row r="340" spans="2:4" ht="15.75" x14ac:dyDescent="0.3">
      <c r="B340" s="14" t="s">
        <v>1369</v>
      </c>
      <c r="C340" s="15" t="str">
        <f>REPLACE(B340,1,9,"82322xx")</f>
        <v>82322xx</v>
      </c>
      <c r="D340" s="16" t="s">
        <v>1370</v>
      </c>
    </row>
    <row r="341" spans="2:4" ht="15.75" x14ac:dyDescent="0.3">
      <c r="B341" s="14" t="s">
        <v>1371</v>
      </c>
      <c r="C341" s="15" t="str">
        <f>REPLACE(B341,1,9,"82321xx")</f>
        <v>82321xx</v>
      </c>
      <c r="D341" s="16" t="s">
        <v>1372</v>
      </c>
    </row>
    <row r="342" spans="2:4" ht="15.75" x14ac:dyDescent="0.3">
      <c r="B342" s="14" t="s">
        <v>1373</v>
      </c>
      <c r="C342" s="15" t="str">
        <f>REPLACE(B342,1,9,"82324xx")</f>
        <v>82324xx</v>
      </c>
      <c r="D342" s="16" t="s">
        <v>1374</v>
      </c>
    </row>
    <row r="343" spans="2:4" ht="15.75" x14ac:dyDescent="0.3">
      <c r="B343" s="14" t="s">
        <v>1375</v>
      </c>
      <c r="C343" s="15" t="str">
        <f>REPLACE(B343,1,9,"82332xx")</f>
        <v>82332xx</v>
      </c>
      <c r="D343" s="16" t="s">
        <v>1376</v>
      </c>
    </row>
    <row r="344" spans="2:4" ht="15.75" x14ac:dyDescent="0.3">
      <c r="B344" s="14" t="s">
        <v>1377</v>
      </c>
      <c r="C344" s="15" t="str">
        <f>REPLACE(B344,1,9,"82331xx")</f>
        <v>82331xx</v>
      </c>
      <c r="D344" s="16" t="s">
        <v>1378</v>
      </c>
    </row>
    <row r="345" spans="2:4" ht="15.75" x14ac:dyDescent="0.3">
      <c r="B345" s="14" t="s">
        <v>1379</v>
      </c>
      <c r="C345" s="15" t="str">
        <f>REPLACE(B345,1,9,"82334xx")</f>
        <v>82334xx</v>
      </c>
      <c r="D345" s="16" t="s">
        <v>1380</v>
      </c>
    </row>
    <row r="346" spans="2:4" ht="15.75" x14ac:dyDescent="0.3">
      <c r="B346" s="14" t="s">
        <v>1381</v>
      </c>
      <c r="C346" s="15" t="str">
        <f>REPLACE(B346,1,9,"82342xx")</f>
        <v>82342xx</v>
      </c>
      <c r="D346" s="16" t="s">
        <v>1382</v>
      </c>
    </row>
    <row r="347" spans="2:4" ht="15.75" x14ac:dyDescent="0.3">
      <c r="B347" s="14" t="s">
        <v>1383</v>
      </c>
      <c r="C347" s="15" t="str">
        <f>REPLACE(B347,1,9,"82341xx")</f>
        <v>82341xx</v>
      </c>
      <c r="D347" s="16" t="s">
        <v>1384</v>
      </c>
    </row>
    <row r="348" spans="2:4" ht="15.75" x14ac:dyDescent="0.3">
      <c r="B348" s="14" t="s">
        <v>1385</v>
      </c>
      <c r="C348" s="15" t="str">
        <f>REPLACE(B348,1,9,"82344xx")</f>
        <v>82344xx</v>
      </c>
      <c r="D348" s="16" t="s">
        <v>1386</v>
      </c>
    </row>
    <row r="349" spans="2:4" ht="15.75" x14ac:dyDescent="0.3">
      <c r="B349" s="14" t="s">
        <v>1387</v>
      </c>
      <c r="C349" s="15" t="str">
        <f>REPLACE(B349,1,9,"82102xx")</f>
        <v>82102xx</v>
      </c>
      <c r="D349" s="16" t="s">
        <v>1388</v>
      </c>
    </row>
    <row r="350" spans="2:4" ht="15.75" x14ac:dyDescent="0.3">
      <c r="B350" s="14" t="s">
        <v>1389</v>
      </c>
      <c r="C350" s="15" t="str">
        <f>REPLACE(B350,1,9,"82101xx")</f>
        <v>82101xx</v>
      </c>
      <c r="D350" s="16" t="s">
        <v>1390</v>
      </c>
    </row>
    <row r="351" spans="2:4" ht="15.75" x14ac:dyDescent="0.3">
      <c r="B351" s="14" t="s">
        <v>1391</v>
      </c>
      <c r="C351" s="15" t="str">
        <f>REPLACE(B351,1,9,"82103xx")</f>
        <v>82103xx</v>
      </c>
      <c r="D351" s="16" t="s">
        <v>1392</v>
      </c>
    </row>
    <row r="352" spans="2:4" ht="15.75" x14ac:dyDescent="0.3">
      <c r="B352" s="14" t="s">
        <v>1393</v>
      </c>
      <c r="C352" s="15" t="str">
        <f>REPLACE(B352,1,9,"82104xx")</f>
        <v>82104xx</v>
      </c>
      <c r="D352" s="16" t="s">
        <v>1394</v>
      </c>
    </row>
    <row r="353" spans="2:4" ht="15.75" x14ac:dyDescent="0.3">
      <c r="B353" s="14" t="s">
        <v>1395</v>
      </c>
      <c r="C353" s="15" t="str">
        <f>REPLACE(B353,1,9,"82112xx")</f>
        <v>82112xx</v>
      </c>
      <c r="D353" s="16" t="s">
        <v>1396</v>
      </c>
    </row>
    <row r="354" spans="2:4" ht="15.75" x14ac:dyDescent="0.3">
      <c r="B354" s="14" t="s">
        <v>1397</v>
      </c>
      <c r="C354" s="15" t="str">
        <f>REPLACE(B354,1,9,"82115xx")</f>
        <v>82115xx</v>
      </c>
      <c r="D354" s="16" t="s">
        <v>1398</v>
      </c>
    </row>
    <row r="355" spans="2:4" ht="15.75" x14ac:dyDescent="0.3">
      <c r="B355" s="14" t="s">
        <v>1399</v>
      </c>
      <c r="C355" s="15" t="str">
        <f>REPLACE(B355,1,9,"82111xx")</f>
        <v>82111xx</v>
      </c>
      <c r="D355" s="16" t="s">
        <v>1400</v>
      </c>
    </row>
    <row r="356" spans="2:4" ht="15.75" x14ac:dyDescent="0.3">
      <c r="B356" s="14" t="s">
        <v>1401</v>
      </c>
      <c r="C356" s="15" t="str">
        <f>REPLACE(B356,1,9,"82113xx")</f>
        <v>82113xx</v>
      </c>
      <c r="D356" s="16" t="s">
        <v>1402</v>
      </c>
    </row>
    <row r="357" spans="2:4" ht="15.75" x14ac:dyDescent="0.3">
      <c r="B357" s="14" t="s">
        <v>1403</v>
      </c>
      <c r="C357" s="15" t="str">
        <f>REPLACE(B357,1,9,"82114xx")</f>
        <v>82114xx</v>
      </c>
      <c r="D357" s="16" t="s">
        <v>1404</v>
      </c>
    </row>
    <row r="358" spans="2:4" ht="15.75" x14ac:dyDescent="0.3">
      <c r="B358" s="14" t="s">
        <v>1405</v>
      </c>
      <c r="C358" s="15" t="str">
        <f>REPLACE(B358,1,9,"82122xx")</f>
        <v>82122xx</v>
      </c>
      <c r="D358" s="16" t="s">
        <v>1406</v>
      </c>
    </row>
    <row r="359" spans="2:4" ht="15.75" x14ac:dyDescent="0.3">
      <c r="B359" s="14" t="s">
        <v>1407</v>
      </c>
      <c r="C359" s="15" t="str">
        <f>REPLACE(B359,1,9,"82121xx")</f>
        <v>82121xx</v>
      </c>
      <c r="D359" s="16" t="s">
        <v>1408</v>
      </c>
    </row>
    <row r="360" spans="2:4" ht="15.75" x14ac:dyDescent="0.3">
      <c r="B360" s="14" t="s">
        <v>1409</v>
      </c>
      <c r="C360" s="15" t="str">
        <f>REPLACE(B360,1,9,"82123xx")</f>
        <v>82123xx</v>
      </c>
      <c r="D360" s="16" t="s">
        <v>1410</v>
      </c>
    </row>
    <row r="361" spans="2:4" ht="15.75" x14ac:dyDescent="0.3">
      <c r="B361" s="14" t="s">
        <v>1411</v>
      </c>
      <c r="C361" s="15" t="str">
        <f>REPLACE(B361,1,9,"82124xx")</f>
        <v>82124xx</v>
      </c>
      <c r="D361" s="16" t="s">
        <v>1412</v>
      </c>
    </row>
    <row r="362" spans="2:4" ht="15.75" x14ac:dyDescent="0.3">
      <c r="B362" s="14" t="s">
        <v>1413</v>
      </c>
      <c r="C362" s="15" t="str">
        <f>REPLACE(B362,1,9,"82132xx")</f>
        <v>82132xx</v>
      </c>
      <c r="D362" s="16" t="s">
        <v>1414</v>
      </c>
    </row>
    <row r="363" spans="2:4" ht="15.75" x14ac:dyDescent="0.3">
      <c r="B363" s="14" t="s">
        <v>1415</v>
      </c>
      <c r="C363" s="15" t="str">
        <f>REPLACE(B363,1,9,"82131xx")</f>
        <v>82131xx</v>
      </c>
      <c r="D363" s="16" t="s">
        <v>1416</v>
      </c>
    </row>
    <row r="364" spans="2:4" ht="15.75" x14ac:dyDescent="0.3">
      <c r="B364" s="14" t="s">
        <v>1417</v>
      </c>
      <c r="C364" s="15" t="str">
        <f>REPLACE(B364,1,9,"82133xx")</f>
        <v>82133xx</v>
      </c>
      <c r="D364" s="16" t="s">
        <v>1418</v>
      </c>
    </row>
    <row r="365" spans="2:4" ht="15.75" x14ac:dyDescent="0.3">
      <c r="B365" s="14" t="s">
        <v>1419</v>
      </c>
      <c r="C365" s="15" t="str">
        <f>REPLACE(B365,1,9,"82134xx")</f>
        <v>82134xx</v>
      </c>
      <c r="D365" s="16" t="s">
        <v>1420</v>
      </c>
    </row>
    <row r="366" spans="2:4" ht="15.75" x14ac:dyDescent="0.3">
      <c r="B366" s="14" t="s">
        <v>1421</v>
      </c>
      <c r="C366" s="15" t="str">
        <f>REPLACE(B366,1,9,"82142xx")</f>
        <v>82142xx</v>
      </c>
      <c r="D366" s="16" t="s">
        <v>1422</v>
      </c>
    </row>
    <row r="367" spans="2:4" ht="15.75" x14ac:dyDescent="0.3">
      <c r="B367" s="14" t="s">
        <v>1423</v>
      </c>
      <c r="C367" s="15" t="str">
        <f>REPLACE(B367,1,9,"82141xx")</f>
        <v>82141xx</v>
      </c>
      <c r="D367" s="16" t="s">
        <v>1424</v>
      </c>
    </row>
    <row r="368" spans="2:4" ht="15.75" x14ac:dyDescent="0.3">
      <c r="B368" s="14" t="s">
        <v>1425</v>
      </c>
      <c r="C368" s="15" t="str">
        <f>REPLACE(B368,1,9,"82143xx")</f>
        <v>82143xx</v>
      </c>
      <c r="D368" s="16" t="s">
        <v>1426</v>
      </c>
    </row>
    <row r="369" spans="2:4" ht="15.75" x14ac:dyDescent="0.3">
      <c r="B369" s="14" t="s">
        <v>1427</v>
      </c>
      <c r="C369" s="15" t="str">
        <f>REPLACE(B369,1,9,"82144xx")</f>
        <v>82144xx</v>
      </c>
      <c r="D369" s="16" t="s">
        <v>1428</v>
      </c>
    </row>
    <row r="370" spans="2:4" ht="15.75" x14ac:dyDescent="0.3">
      <c r="B370" s="14" t="s">
        <v>1429</v>
      </c>
      <c r="C370" s="15" t="str">
        <f>REPLACE(B370,1,9,"82152xx")</f>
        <v>82152xx</v>
      </c>
      <c r="D370" s="16" t="s">
        <v>1430</v>
      </c>
    </row>
    <row r="371" spans="2:4" ht="15.75" x14ac:dyDescent="0.3">
      <c r="B371" s="14" t="s">
        <v>1431</v>
      </c>
      <c r="C371" s="15" t="str">
        <f>REPLACE(B371,1,9,"82151xx")</f>
        <v>82151xx</v>
      </c>
      <c r="D371" s="16" t="s">
        <v>1432</v>
      </c>
    </row>
    <row r="372" spans="2:4" ht="15.75" x14ac:dyDescent="0.3">
      <c r="B372" s="14" t="s">
        <v>1433</v>
      </c>
      <c r="C372" s="15" t="str">
        <f>REPLACE(B372,1,9,"82153xx")</f>
        <v>82153xx</v>
      </c>
      <c r="D372" s="16" t="s">
        <v>1434</v>
      </c>
    </row>
    <row r="373" spans="2:4" ht="15.75" x14ac:dyDescent="0.3">
      <c r="B373" s="14" t="s">
        <v>1435</v>
      </c>
      <c r="C373" s="15" t="str">
        <f>REPLACE(B373,1,9,"82154xx")</f>
        <v>82154xx</v>
      </c>
      <c r="D373" s="16" t="s">
        <v>1436</v>
      </c>
    </row>
    <row r="374" spans="2:4" ht="15.75" x14ac:dyDescent="0.3">
      <c r="B374" s="14" t="s">
        <v>1437</v>
      </c>
      <c r="C374" s="15" t="s">
        <v>2367</v>
      </c>
      <c r="D374" s="16" t="s">
        <v>183</v>
      </c>
    </row>
    <row r="375" spans="2:4" ht="15.75" x14ac:dyDescent="0.3">
      <c r="B375" s="14" t="s">
        <v>1438</v>
      </c>
      <c r="C375" s="15" t="s">
        <v>2368</v>
      </c>
      <c r="D375" s="16" t="s">
        <v>8</v>
      </c>
    </row>
    <row r="376" spans="2:4" ht="15.75" x14ac:dyDescent="0.3">
      <c r="B376" s="14" t="s">
        <v>1439</v>
      </c>
      <c r="C376" s="15" t="str">
        <f>REPLACE(B376,1,9,"12081xx")</f>
        <v>12081xx</v>
      </c>
      <c r="D376" s="16" t="s">
        <v>1440</v>
      </c>
    </row>
    <row r="377" spans="2:4" ht="15.75" x14ac:dyDescent="0.3">
      <c r="B377" s="14" t="s">
        <v>1441</v>
      </c>
      <c r="C377" s="15" t="str">
        <f>REPLACE(B377,1,9,"12082xx")</f>
        <v>12082xx</v>
      </c>
      <c r="D377" s="16" t="s">
        <v>1442</v>
      </c>
    </row>
    <row r="378" spans="2:4" ht="15.75" x14ac:dyDescent="0.3">
      <c r="B378" s="14" t="s">
        <v>1443</v>
      </c>
      <c r="C378" s="15" t="str">
        <f>REPLACE(B378,1,9,"12033xx")</f>
        <v>12033xx</v>
      </c>
      <c r="D378" s="16" t="s">
        <v>1444</v>
      </c>
    </row>
    <row r="379" spans="2:4" ht="15.75" x14ac:dyDescent="0.3">
      <c r="B379" s="14" t="s">
        <v>1445</v>
      </c>
      <c r="C379" s="15" t="str">
        <f>REPLACE(B379,1,9,"12032xx")</f>
        <v>12032xx</v>
      </c>
      <c r="D379" s="16" t="s">
        <v>1446</v>
      </c>
    </row>
    <row r="380" spans="2:4" ht="15.75" x14ac:dyDescent="0.3">
      <c r="B380" s="14" t="s">
        <v>1447</v>
      </c>
      <c r="C380" s="15" t="str">
        <f>REPLACE(B380,1,9,"12031xx")</f>
        <v>12031xx</v>
      </c>
      <c r="D380" s="16" t="s">
        <v>1448</v>
      </c>
    </row>
    <row r="381" spans="2:4" ht="15.75" x14ac:dyDescent="0.3">
      <c r="B381" s="14" t="s">
        <v>1449</v>
      </c>
      <c r="C381" s="15" t="str">
        <f>REPLACE(B381,1,9,"12034xx")</f>
        <v>12034xx</v>
      </c>
      <c r="D381" s="16" t="s">
        <v>1450</v>
      </c>
    </row>
    <row r="382" spans="2:4" ht="15.75" x14ac:dyDescent="0.3">
      <c r="B382" s="14" t="s">
        <v>1451</v>
      </c>
      <c r="C382" s="15" t="str">
        <f>REPLACE(B382,1,9,"12041xx")</f>
        <v>12041xx</v>
      </c>
      <c r="D382" s="16" t="s">
        <v>1452</v>
      </c>
    </row>
    <row r="383" spans="2:4" ht="15.75" x14ac:dyDescent="0.3">
      <c r="B383" s="14" t="s">
        <v>1453</v>
      </c>
      <c r="C383" s="15" t="str">
        <f>REPLACE(B383,1,9,"12061xx")</f>
        <v>12061xx</v>
      </c>
      <c r="D383" s="16" t="s">
        <v>11</v>
      </c>
    </row>
    <row r="384" spans="2:4" ht="15.75" x14ac:dyDescent="0.3">
      <c r="B384" s="14" t="s">
        <v>1454</v>
      </c>
      <c r="C384" s="15" t="str">
        <f>REPLACE(B384,1,9,"12072xx")</f>
        <v>12072xx</v>
      </c>
      <c r="D384" s="16" t="s">
        <v>1455</v>
      </c>
    </row>
    <row r="385" spans="2:4" ht="15.75" x14ac:dyDescent="0.3">
      <c r="B385" s="14" t="s">
        <v>1456</v>
      </c>
      <c r="C385" s="15" t="str">
        <f>REPLACE(B385,1,9,"12071xx")</f>
        <v>12071xx</v>
      </c>
      <c r="D385" s="16" t="s">
        <v>1457</v>
      </c>
    </row>
    <row r="386" spans="2:4" ht="15.75" x14ac:dyDescent="0.3">
      <c r="B386" s="14" t="s">
        <v>1458</v>
      </c>
      <c r="C386" s="15" t="str">
        <f>REPLACE(B386,1,9,"12052xx")</f>
        <v>12052xx</v>
      </c>
      <c r="D386" s="16" t="s">
        <v>1459</v>
      </c>
    </row>
    <row r="387" spans="2:4" ht="15.75" x14ac:dyDescent="0.3">
      <c r="B387" s="14" t="s">
        <v>1460</v>
      </c>
      <c r="C387" s="15" t="str">
        <f>REPLACE(B387,1,9,"12053xx")</f>
        <v>12053xx</v>
      </c>
      <c r="D387" s="16" t="s">
        <v>1461</v>
      </c>
    </row>
    <row r="388" spans="2:4" ht="15.75" x14ac:dyDescent="0.3">
      <c r="B388" s="14" t="s">
        <v>1462</v>
      </c>
      <c r="C388" s="15" t="str">
        <f>REPLACE(B388,1,9,"12051xx")</f>
        <v>12051xx</v>
      </c>
      <c r="D388" s="16" t="s">
        <v>1463</v>
      </c>
    </row>
    <row r="389" spans="2:4" ht="15.75" x14ac:dyDescent="0.3">
      <c r="B389" s="14" t="s">
        <v>1464</v>
      </c>
      <c r="C389" s="15" t="str">
        <f>REPLACE(B389,1,9,"12055xx")</f>
        <v>12055xx</v>
      </c>
      <c r="D389" s="16" t="s">
        <v>1465</v>
      </c>
    </row>
    <row r="390" spans="2:4" ht="15.75" x14ac:dyDescent="0.3">
      <c r="B390" s="14" t="s">
        <v>1466</v>
      </c>
      <c r="C390" s="15" t="str">
        <f>REPLACE(B390,1,9,"12057xx")</f>
        <v>12057xx</v>
      </c>
      <c r="D390" s="16" t="s">
        <v>1467</v>
      </c>
    </row>
    <row r="391" spans="2:4" ht="15.75" x14ac:dyDescent="0.3">
      <c r="B391" s="14" t="s">
        <v>1468</v>
      </c>
      <c r="C391" s="15" t="str">
        <f>REPLACE(B391,1,9,"12054xx")</f>
        <v>12054xx</v>
      </c>
      <c r="D391" s="16" t="s">
        <v>1469</v>
      </c>
    </row>
    <row r="392" spans="2:4" ht="15.75" x14ac:dyDescent="0.3">
      <c r="B392" s="14" t="s">
        <v>1470</v>
      </c>
      <c r="C392" s="15" t="str">
        <f>REPLACE(B392,1,9,"12056xx")</f>
        <v>12056xx</v>
      </c>
      <c r="D392" s="16" t="s">
        <v>1471</v>
      </c>
    </row>
    <row r="393" spans="2:4" ht="15.75" x14ac:dyDescent="0.3">
      <c r="B393" s="14" t="s">
        <v>1472</v>
      </c>
      <c r="C393" s="15" t="str">
        <f>REPLACE(B393,1,9,"12013xx")</f>
        <v>12013xx</v>
      </c>
      <c r="D393" s="16" t="s">
        <v>1473</v>
      </c>
    </row>
    <row r="394" spans="2:4" ht="15.75" x14ac:dyDescent="0.3">
      <c r="B394" s="14" t="s">
        <v>1474</v>
      </c>
      <c r="C394" s="15" t="str">
        <f>REPLACE(B394,1,9,"12011xx")</f>
        <v>12011xx</v>
      </c>
      <c r="D394" s="16" t="s">
        <v>1440</v>
      </c>
    </row>
    <row r="395" spans="2:4" ht="15.75" x14ac:dyDescent="0.3">
      <c r="B395" s="14" t="s">
        <v>1475</v>
      </c>
      <c r="C395" s="15" t="str">
        <f>REPLACE(B395,1,9,"12012xx")</f>
        <v>12012xx</v>
      </c>
      <c r="D395" s="16" t="s">
        <v>1476</v>
      </c>
    </row>
    <row r="396" spans="2:4" ht="15.75" x14ac:dyDescent="0.3">
      <c r="B396" s="14" t="s">
        <v>1477</v>
      </c>
      <c r="C396" s="15" t="str">
        <f>REPLACE(B396,1,9,"12014xx")</f>
        <v>12014xx</v>
      </c>
      <c r="D396" s="16" t="s">
        <v>1478</v>
      </c>
    </row>
    <row r="397" spans="2:4" ht="15.75" x14ac:dyDescent="0.3">
      <c r="B397" s="14" t="s">
        <v>1479</v>
      </c>
      <c r="C397" s="15" t="str">
        <f>REPLACE(B397,1,9,"12015xx")</f>
        <v>12015xx</v>
      </c>
      <c r="D397" s="16" t="s">
        <v>1480</v>
      </c>
    </row>
    <row r="398" spans="2:4" ht="15.75" x14ac:dyDescent="0.3">
      <c r="B398" s="14" t="s">
        <v>1481</v>
      </c>
      <c r="C398" s="15" t="str">
        <f>REPLACE(B398,1,9,"12021xx")</f>
        <v>12021xx</v>
      </c>
      <c r="D398" s="16" t="s">
        <v>195</v>
      </c>
    </row>
    <row r="399" spans="2:4" ht="15.75" x14ac:dyDescent="0.3">
      <c r="B399" s="14" t="s">
        <v>1482</v>
      </c>
      <c r="C399" s="15" t="str">
        <f>REPLACE(B399,1,9,"14021xx")</f>
        <v>14021xx</v>
      </c>
      <c r="D399" s="16" t="s">
        <v>197</v>
      </c>
    </row>
    <row r="400" spans="2:4" ht="15.75" x14ac:dyDescent="0.3">
      <c r="B400" s="14" t="s">
        <v>1483</v>
      </c>
      <c r="C400" s="15" t="str">
        <f>REPLACE(B400,1,9,"14031xx")</f>
        <v>14031xx</v>
      </c>
      <c r="D400" s="16" t="s">
        <v>199</v>
      </c>
    </row>
    <row r="401" spans="2:4" ht="15.75" x14ac:dyDescent="0.3">
      <c r="B401" s="14" t="s">
        <v>1484</v>
      </c>
      <c r="C401" s="15" t="str">
        <f>REPLACE(B401,1,9,"14042xx")</f>
        <v>14042xx</v>
      </c>
      <c r="D401" s="16" t="s">
        <v>1485</v>
      </c>
    </row>
    <row r="402" spans="2:4" ht="15.75" x14ac:dyDescent="0.3">
      <c r="B402" s="14" t="s">
        <v>1486</v>
      </c>
      <c r="C402" s="15" t="str">
        <f>REPLACE(B402,1,9,"14041xx")</f>
        <v>14041xx</v>
      </c>
      <c r="D402" s="16" t="s">
        <v>1487</v>
      </c>
    </row>
    <row r="403" spans="2:4" ht="15.75" x14ac:dyDescent="0.3">
      <c r="B403" s="14" t="s">
        <v>1488</v>
      </c>
      <c r="C403" s="15" t="str">
        <f>REPLACE(B403,1,9,"14101xx")</f>
        <v>14101xx</v>
      </c>
      <c r="D403" s="16" t="s">
        <v>203</v>
      </c>
    </row>
    <row r="404" spans="2:4" ht="15.75" x14ac:dyDescent="0.3">
      <c r="B404" s="14" t="s">
        <v>1489</v>
      </c>
      <c r="C404" s="15" t="str">
        <f>REPLACE(B404,1,9,"14112xx")</f>
        <v>14112xx</v>
      </c>
      <c r="D404" s="16" t="s">
        <v>1490</v>
      </c>
    </row>
    <row r="405" spans="2:4" ht="15.75" x14ac:dyDescent="0.3">
      <c r="B405" s="14" t="s">
        <v>1491</v>
      </c>
      <c r="C405" s="15" t="str">
        <f>REPLACE(B405,1,9,"14116xx")</f>
        <v>14116xx</v>
      </c>
      <c r="D405" s="16" t="s">
        <v>1492</v>
      </c>
    </row>
    <row r="406" spans="2:4" ht="15.75" x14ac:dyDescent="0.3">
      <c r="B406" s="14" t="s">
        <v>1493</v>
      </c>
      <c r="C406" s="15" t="str">
        <f>REPLACE(B406,1,9,"14113xx")</f>
        <v>14113xx</v>
      </c>
      <c r="D406" s="16" t="s">
        <v>1494</v>
      </c>
    </row>
    <row r="407" spans="2:4" ht="15.75" x14ac:dyDescent="0.3">
      <c r="B407" s="14" t="s">
        <v>1495</v>
      </c>
      <c r="C407" s="15" t="str">
        <f>REPLACE(B407,1,9,"14115xx")</f>
        <v>14115xx</v>
      </c>
      <c r="D407" s="16" t="s">
        <v>1496</v>
      </c>
    </row>
    <row r="408" spans="2:4" ht="15.75" x14ac:dyDescent="0.3">
      <c r="B408" s="14" t="s">
        <v>1497</v>
      </c>
      <c r="C408" s="15" t="str">
        <f>REPLACE(B408,1,9,"14111xx")</f>
        <v>14111xx</v>
      </c>
      <c r="D408" s="16" t="s">
        <v>1498</v>
      </c>
    </row>
    <row r="409" spans="2:4" ht="15.75" x14ac:dyDescent="0.3">
      <c r="B409" s="14" t="s">
        <v>1499</v>
      </c>
      <c r="C409" s="15" t="str">
        <f>REPLACE(B409,1,9,"14114xx")</f>
        <v>14114xx</v>
      </c>
      <c r="D409" s="16" t="s">
        <v>1500</v>
      </c>
    </row>
    <row r="410" spans="2:4" ht="15.75" x14ac:dyDescent="0.3">
      <c r="B410" s="14" t="s">
        <v>1501</v>
      </c>
      <c r="C410" s="15" t="str">
        <f>REPLACE(B410,1,9,"14121xx")</f>
        <v>14121xx</v>
      </c>
      <c r="D410" s="16" t="s">
        <v>207</v>
      </c>
    </row>
    <row r="411" spans="2:4" ht="15.75" x14ac:dyDescent="0.3">
      <c r="B411" s="14" t="s">
        <v>1502</v>
      </c>
      <c r="C411" s="15" t="str">
        <f>REPLACE(B411,1,9,"14141xx")</f>
        <v>14141xx</v>
      </c>
      <c r="D411" s="16" t="s">
        <v>209</v>
      </c>
    </row>
    <row r="412" spans="2:4" ht="15.75" x14ac:dyDescent="0.3">
      <c r="B412" s="14" t="s">
        <v>1503</v>
      </c>
      <c r="C412" s="15" t="str">
        <f>REPLACE(B412,1,9,"14161xx")</f>
        <v>14161xx</v>
      </c>
      <c r="D412" s="16" t="s">
        <v>211</v>
      </c>
    </row>
    <row r="413" spans="2:4" ht="15.75" x14ac:dyDescent="0.3">
      <c r="B413" s="14" t="s">
        <v>1504</v>
      </c>
      <c r="C413" s="15" t="str">
        <f>REPLACE(B413,1,9,"14181xx")</f>
        <v>14181xx</v>
      </c>
      <c r="D413" s="16" t="s">
        <v>213</v>
      </c>
    </row>
    <row r="414" spans="2:4" ht="15.75" x14ac:dyDescent="0.3">
      <c r="B414" s="14" t="s">
        <v>1505</v>
      </c>
      <c r="C414" s="15" t="str">
        <f>REPLACE(B414,1,9,"16201xx")</f>
        <v>16201xx</v>
      </c>
      <c r="D414" s="16" t="s">
        <v>215</v>
      </c>
    </row>
    <row r="415" spans="2:4" ht="15.75" x14ac:dyDescent="0.3">
      <c r="B415" s="14" t="s">
        <v>1506</v>
      </c>
      <c r="C415" s="15" t="str">
        <f>REPLACE(B415,1,9,"16211xx")</f>
        <v>16211xx</v>
      </c>
      <c r="D415" s="16" t="s">
        <v>217</v>
      </c>
    </row>
    <row r="416" spans="2:4" ht="15.75" x14ac:dyDescent="0.3">
      <c r="B416" s="14" t="s">
        <v>1507</v>
      </c>
      <c r="C416" s="15" t="str">
        <f>REPLACE(B416,1,9,"16221xx")</f>
        <v>16221xx</v>
      </c>
      <c r="D416" s="16" t="s">
        <v>219</v>
      </c>
    </row>
    <row r="417" spans="2:4" ht="15.75" x14ac:dyDescent="0.3">
      <c r="B417" s="14" t="s">
        <v>1508</v>
      </c>
      <c r="C417" s="15" t="str">
        <f>REPLACE(B417,1,9,"16251xx")</f>
        <v>16251xx</v>
      </c>
      <c r="D417" s="16" t="s">
        <v>221</v>
      </c>
    </row>
    <row r="418" spans="2:4" ht="15.75" x14ac:dyDescent="0.3">
      <c r="B418" s="14" t="s">
        <v>1509</v>
      </c>
      <c r="C418" s="15" t="str">
        <f>REPLACE(B418,1,9,"16271xx")</f>
        <v>16271xx</v>
      </c>
      <c r="D418" s="16" t="s">
        <v>1510</v>
      </c>
    </row>
    <row r="419" spans="2:4" ht="15.75" x14ac:dyDescent="0.3">
      <c r="B419" s="14" t="s">
        <v>1511</v>
      </c>
      <c r="C419" s="15" t="str">
        <f>REPLACE(B419,1,9,"16281xx")</f>
        <v>16281xx</v>
      </c>
      <c r="D419" s="16" t="s">
        <v>1512</v>
      </c>
    </row>
    <row r="420" spans="2:4" ht="15.75" x14ac:dyDescent="0.3">
      <c r="B420" s="14" t="s">
        <v>1513</v>
      </c>
      <c r="C420" s="15" t="str">
        <f>REPLACE(B420,1,9,"16301xx")</f>
        <v>16301xx</v>
      </c>
      <c r="D420" s="16" t="s">
        <v>227</v>
      </c>
    </row>
    <row r="421" spans="2:4" ht="15.75" x14ac:dyDescent="0.3">
      <c r="B421" s="14" t="s">
        <v>1514</v>
      </c>
      <c r="C421" s="15" t="str">
        <f>REPLACE(B421,1,9,"16011xx")</f>
        <v>16011xx</v>
      </c>
      <c r="D421" s="16" t="s">
        <v>14</v>
      </c>
    </row>
    <row r="422" spans="2:4" ht="15.75" x14ac:dyDescent="0.3">
      <c r="B422" s="14" t="s">
        <v>1515</v>
      </c>
      <c r="C422" s="15" t="str">
        <f>REPLACE(B422,1,9,"16067xx")</f>
        <v>16067xx</v>
      </c>
      <c r="D422" s="16" t="s">
        <v>1516</v>
      </c>
    </row>
    <row r="423" spans="2:4" ht="15.75" x14ac:dyDescent="0.3">
      <c r="B423" s="14" t="s">
        <v>1517</v>
      </c>
      <c r="C423" s="15" t="str">
        <f>REPLACE(B423,1,9,"16064xx")</f>
        <v>16064xx</v>
      </c>
      <c r="D423" s="16" t="s">
        <v>1518</v>
      </c>
    </row>
    <row r="424" spans="2:4" ht="15.75" x14ac:dyDescent="0.3">
      <c r="B424" s="14" t="s">
        <v>1519</v>
      </c>
      <c r="C424" s="15" t="str">
        <f>REPLACE(B424,1,9,"16062xx")</f>
        <v>16062xx</v>
      </c>
      <c r="D424" s="16" t="s">
        <v>1520</v>
      </c>
    </row>
    <row r="425" spans="2:4" ht="15.75" x14ac:dyDescent="0.3">
      <c r="B425" s="14" t="s">
        <v>1521</v>
      </c>
      <c r="C425" s="15" t="str">
        <f>REPLACE(B425,1,9,"16066xx")</f>
        <v>16066xx</v>
      </c>
      <c r="D425" s="16" t="s">
        <v>1522</v>
      </c>
    </row>
    <row r="426" spans="2:4" ht="15.75" x14ac:dyDescent="0.3">
      <c r="B426" s="14" t="s">
        <v>1523</v>
      </c>
      <c r="C426" s="15" t="str">
        <f>REPLACE(B426,1,9,"16063xx")</f>
        <v>16063xx</v>
      </c>
      <c r="D426" s="16" t="s">
        <v>1524</v>
      </c>
    </row>
    <row r="427" spans="2:4" ht="15.75" x14ac:dyDescent="0.3">
      <c r="B427" s="14" t="s">
        <v>1525</v>
      </c>
      <c r="C427" s="15" t="str">
        <f>REPLACE(B427,1,9,"16065xx")</f>
        <v>16065xx</v>
      </c>
      <c r="D427" s="16" t="s">
        <v>1526</v>
      </c>
    </row>
    <row r="428" spans="2:4" ht="15.75" x14ac:dyDescent="0.3">
      <c r="B428" s="14" t="s">
        <v>1527</v>
      </c>
      <c r="C428" s="15" t="str">
        <f>REPLACE(B428,1,9,"16061xx")</f>
        <v>16061xx</v>
      </c>
      <c r="D428" s="16" t="s">
        <v>1528</v>
      </c>
    </row>
    <row r="429" spans="2:4" ht="15.75" x14ac:dyDescent="0.3">
      <c r="B429" s="14" t="s">
        <v>1529</v>
      </c>
      <c r="C429" s="15" t="str">
        <f>REPLACE(B429,1,9,"16101xx")</f>
        <v>16101xx</v>
      </c>
      <c r="D429" s="16" t="s">
        <v>1530</v>
      </c>
    </row>
    <row r="430" spans="2:4" ht="15.75" x14ac:dyDescent="0.3">
      <c r="B430" s="14" t="s">
        <v>1531</v>
      </c>
      <c r="C430" s="15" t="str">
        <f>REPLACE(B430,1,9,"16111xx")</f>
        <v>16111xx</v>
      </c>
      <c r="D430" s="16" t="s">
        <v>233</v>
      </c>
    </row>
    <row r="431" spans="2:4" ht="15.75" x14ac:dyDescent="0.3">
      <c r="B431" s="14" t="s">
        <v>1532</v>
      </c>
      <c r="C431" s="15" t="str">
        <f>REPLACE(B431,1,9,"16123xx")</f>
        <v>16123xx</v>
      </c>
      <c r="D431" s="16" t="s">
        <v>1533</v>
      </c>
    </row>
    <row r="432" spans="2:4" ht="15.75" x14ac:dyDescent="0.3">
      <c r="B432" s="14" t="s">
        <v>1534</v>
      </c>
      <c r="C432" s="15" t="str">
        <f>REPLACE(B432,1,9,"16122xx")</f>
        <v>16122xx</v>
      </c>
      <c r="D432" s="16" t="s">
        <v>1535</v>
      </c>
    </row>
    <row r="433" spans="2:4" ht="15.75" x14ac:dyDescent="0.3">
      <c r="B433" s="14" t="s">
        <v>1536</v>
      </c>
      <c r="C433" s="15" t="str">
        <f>REPLACE(B433,1,9,"16121xx")</f>
        <v>16121xx</v>
      </c>
      <c r="D433" s="16" t="s">
        <v>235</v>
      </c>
    </row>
    <row r="434" spans="2:4" ht="15.75" x14ac:dyDescent="0.3">
      <c r="B434" s="14" t="s">
        <v>1537</v>
      </c>
      <c r="C434" s="15" t="str">
        <f>REPLACE(B434,1,9,"16131xx")</f>
        <v>16131xx</v>
      </c>
      <c r="D434" s="16" t="s">
        <v>237</v>
      </c>
    </row>
    <row r="435" spans="2:4" ht="15.75" x14ac:dyDescent="0.3">
      <c r="B435" s="14" t="s">
        <v>1538</v>
      </c>
      <c r="C435" s="15" t="str">
        <f>REPLACE(B435,1,9,"16141xx")</f>
        <v>16141xx</v>
      </c>
      <c r="D435" s="16" t="s">
        <v>239</v>
      </c>
    </row>
    <row r="436" spans="2:4" ht="15.75" x14ac:dyDescent="0.3">
      <c r="B436" s="14" t="s">
        <v>1539</v>
      </c>
      <c r="C436" s="15" t="str">
        <f>REPLACE(B436,1,9,"16152xx")</f>
        <v>16152xx</v>
      </c>
      <c r="D436" s="16" t="s">
        <v>1540</v>
      </c>
    </row>
    <row r="437" spans="2:4" ht="15.75" x14ac:dyDescent="0.3">
      <c r="B437" s="14" t="s">
        <v>1541</v>
      </c>
      <c r="C437" s="15" t="str">
        <f>REPLACE(B437,1,9,"16151xx")</f>
        <v>16151xx</v>
      </c>
      <c r="D437" s="16" t="s">
        <v>241</v>
      </c>
    </row>
    <row r="438" spans="2:4" ht="15.75" x14ac:dyDescent="0.3">
      <c r="B438" s="14" t="s">
        <v>1542</v>
      </c>
      <c r="C438" s="15" t="str">
        <f>REPLACE(B438,1,9,"16153xx")</f>
        <v>16153xx</v>
      </c>
      <c r="D438" s="16" t="s">
        <v>1543</v>
      </c>
    </row>
    <row r="439" spans="2:4" ht="15.75" x14ac:dyDescent="0.3">
      <c r="B439" s="14" t="s">
        <v>1544</v>
      </c>
      <c r="C439" s="15" t="str">
        <f>REPLACE(B439,1,9,"16351xx")</f>
        <v>16351xx</v>
      </c>
      <c r="D439" s="16" t="s">
        <v>243</v>
      </c>
    </row>
    <row r="440" spans="2:4" ht="15.75" x14ac:dyDescent="0.3">
      <c r="B440" s="14" t="s">
        <v>1545</v>
      </c>
      <c r="C440" s="15" t="str">
        <f>REPLACE(B440,1,9,"16364xx")</f>
        <v>16364xx</v>
      </c>
      <c r="D440" s="16" t="s">
        <v>1546</v>
      </c>
    </row>
    <row r="441" spans="2:4" ht="15.75" x14ac:dyDescent="0.3">
      <c r="B441" s="14" t="s">
        <v>1547</v>
      </c>
      <c r="C441" s="15" t="str">
        <f>REPLACE(B441,1,9,"16362xx")</f>
        <v>16362xx</v>
      </c>
      <c r="D441" s="16" t="s">
        <v>1548</v>
      </c>
    </row>
    <row r="442" spans="2:4" ht="15.75" x14ac:dyDescent="0.3">
      <c r="B442" s="14" t="s">
        <v>1549</v>
      </c>
      <c r="C442" s="15" t="str">
        <f>REPLACE(B442,1,9,"16363xx")</f>
        <v>16363xx</v>
      </c>
      <c r="D442" s="16" t="s">
        <v>1550</v>
      </c>
    </row>
    <row r="443" spans="2:4" ht="15.75" x14ac:dyDescent="0.3">
      <c r="B443" s="14" t="s">
        <v>1551</v>
      </c>
      <c r="C443" s="15" t="str">
        <f>REPLACE(B443,1,9,"16361xx")</f>
        <v>16361xx</v>
      </c>
      <c r="D443" s="16" t="s">
        <v>1552</v>
      </c>
    </row>
    <row r="444" spans="2:4" ht="15.75" x14ac:dyDescent="0.3">
      <c r="B444" s="14" t="s">
        <v>1553</v>
      </c>
      <c r="C444" s="15" t="str">
        <f>REPLACE(B444,1,9,"16401xx")</f>
        <v>16401xx</v>
      </c>
      <c r="D444" s="16" t="s">
        <v>247</v>
      </c>
    </row>
    <row r="445" spans="2:4" ht="15.75" x14ac:dyDescent="0.3">
      <c r="B445" s="14" t="s">
        <v>1554</v>
      </c>
      <c r="C445" s="15" t="str">
        <f>REPLACE(B445,1,9,"16021xx")</f>
        <v>16021xx</v>
      </c>
      <c r="D445" s="16" t="s">
        <v>16</v>
      </c>
    </row>
    <row r="446" spans="2:4" ht="15.75" x14ac:dyDescent="0.3">
      <c r="B446" s="14" t="s">
        <v>1555</v>
      </c>
      <c r="C446" s="15" t="str">
        <f>REPLACE(B446,1,9,"18021xx")</f>
        <v>18021xx</v>
      </c>
      <c r="D446" s="16" t="s">
        <v>250</v>
      </c>
    </row>
    <row r="447" spans="2:4" ht="15.75" x14ac:dyDescent="0.3">
      <c r="B447" s="14" t="s">
        <v>1556</v>
      </c>
      <c r="C447" s="15" t="str">
        <f>REPLACE(B447,1,9,"18031xx")</f>
        <v>18031xx</v>
      </c>
      <c r="D447" s="16" t="s">
        <v>252</v>
      </c>
    </row>
    <row r="448" spans="2:4" ht="15.75" x14ac:dyDescent="0.3">
      <c r="B448" s="14" t="s">
        <v>1557</v>
      </c>
      <c r="C448" s="15" t="str">
        <f>REPLACE(B448,1,9,"18041xx")</f>
        <v>18041xx</v>
      </c>
      <c r="D448" s="16" t="s">
        <v>254</v>
      </c>
    </row>
    <row r="449" spans="2:4" ht="15.75" x14ac:dyDescent="0.3">
      <c r="B449" s="14" t="s">
        <v>1558</v>
      </c>
      <c r="C449" s="15" t="str">
        <f>REPLACE(B449,1,9,"18051xx")</f>
        <v>18051xx</v>
      </c>
      <c r="D449" s="16" t="s">
        <v>256</v>
      </c>
    </row>
    <row r="450" spans="2:4" ht="15.75" x14ac:dyDescent="0.3">
      <c r="B450" s="14" t="s">
        <v>1559</v>
      </c>
      <c r="C450" s="15" t="str">
        <f>REPLACE(B450,1,9,"18101xx")</f>
        <v>18101xx</v>
      </c>
      <c r="D450" s="16" t="s">
        <v>258</v>
      </c>
    </row>
    <row r="451" spans="2:4" ht="15.75" x14ac:dyDescent="0.3">
      <c r="B451" s="14" t="s">
        <v>1560</v>
      </c>
      <c r="C451" s="15" t="str">
        <f>REPLACE(B451,1,9,"18011xx")</f>
        <v>18011xx</v>
      </c>
      <c r="D451" s="16" t="s">
        <v>17</v>
      </c>
    </row>
    <row r="452" spans="2:4" ht="15.75" x14ac:dyDescent="0.3">
      <c r="B452" s="14" t="s">
        <v>1561</v>
      </c>
      <c r="C452" s="15" t="str">
        <f>REPLACE(B452,1,9,"18123xx")</f>
        <v>18123xx</v>
      </c>
      <c r="D452" s="16" t="s">
        <v>1562</v>
      </c>
    </row>
    <row r="453" spans="2:4" ht="15.75" x14ac:dyDescent="0.3">
      <c r="B453" s="14" t="s">
        <v>1563</v>
      </c>
      <c r="C453" s="15" t="str">
        <f>REPLACE(B453,1,9,"18126xx")</f>
        <v>18126xx</v>
      </c>
      <c r="D453" s="16" t="s">
        <v>1564</v>
      </c>
    </row>
    <row r="454" spans="2:4" ht="15.75" x14ac:dyDescent="0.3">
      <c r="B454" s="14" t="s">
        <v>1565</v>
      </c>
      <c r="C454" s="15" t="str">
        <f>REPLACE(B454,1,9,"18122xx")</f>
        <v>18122xx</v>
      </c>
      <c r="D454" s="16" t="s">
        <v>1566</v>
      </c>
    </row>
    <row r="455" spans="2:4" ht="15.75" x14ac:dyDescent="0.3">
      <c r="B455" s="14" t="s">
        <v>1567</v>
      </c>
      <c r="C455" s="15" t="str">
        <f>REPLACE(B455,1,9,"18121xx")</f>
        <v>18121xx</v>
      </c>
      <c r="D455" s="16" t="s">
        <v>1568</v>
      </c>
    </row>
    <row r="456" spans="2:4" ht="15.75" x14ac:dyDescent="0.3">
      <c r="B456" s="14" t="s">
        <v>1569</v>
      </c>
      <c r="C456" s="15" t="str">
        <f>REPLACE(B456,1,9,"18125xx")</f>
        <v>18125xx</v>
      </c>
      <c r="D456" s="16" t="s">
        <v>1570</v>
      </c>
    </row>
    <row r="457" spans="2:4" ht="15.75" x14ac:dyDescent="0.3">
      <c r="B457" s="14" t="s">
        <v>1571</v>
      </c>
      <c r="C457" s="15" t="str">
        <f>REPLACE(B457,1,9,"18124xx")</f>
        <v>18124xx</v>
      </c>
      <c r="D457" s="16" t="s">
        <v>1572</v>
      </c>
    </row>
    <row r="458" spans="2:4" ht="15.75" x14ac:dyDescent="0.3">
      <c r="B458" s="14" t="s">
        <v>1573</v>
      </c>
      <c r="C458" s="15" t="str">
        <f>REPLACE(B458,1,9,"18141xx")</f>
        <v>18141xx</v>
      </c>
      <c r="D458" s="16" t="s">
        <v>1574</v>
      </c>
    </row>
    <row r="459" spans="2:4" ht="15.75" x14ac:dyDescent="0.3">
      <c r="B459" s="14" t="s">
        <v>1575</v>
      </c>
      <c r="C459" s="15" t="str">
        <f>REPLACE(B459,1,9,"18143xx")</f>
        <v>18143xx</v>
      </c>
      <c r="D459" s="16" t="s">
        <v>1576</v>
      </c>
    </row>
    <row r="460" spans="2:4" ht="15.75" x14ac:dyDescent="0.3">
      <c r="B460" s="14" t="s">
        <v>1577</v>
      </c>
      <c r="C460" s="15" t="str">
        <f>REPLACE(B460,1,9,"18145xx")</f>
        <v>18145xx</v>
      </c>
      <c r="D460" s="16" t="s">
        <v>1578</v>
      </c>
    </row>
    <row r="461" spans="2:4" ht="15.75" x14ac:dyDescent="0.3">
      <c r="B461" s="14" t="s">
        <v>1579</v>
      </c>
      <c r="C461" s="15" t="str">
        <f>REPLACE(B461,1,9,"18142xx")</f>
        <v>18142xx</v>
      </c>
      <c r="D461" s="16" t="s">
        <v>1580</v>
      </c>
    </row>
    <row r="462" spans="2:4" ht="15.75" x14ac:dyDescent="0.3">
      <c r="B462" s="14" t="s">
        <v>1581</v>
      </c>
      <c r="C462" s="15" t="str">
        <f>REPLACE(B462,1,9,"18146xx")</f>
        <v>18146xx</v>
      </c>
      <c r="D462" s="16" t="s">
        <v>1582</v>
      </c>
    </row>
    <row r="463" spans="2:4" ht="15.75" x14ac:dyDescent="0.3">
      <c r="B463" s="14" t="s">
        <v>1583</v>
      </c>
      <c r="C463" s="15" t="str">
        <f>REPLACE(B463,1,9,"18161xx")</f>
        <v>18161xx</v>
      </c>
      <c r="D463" s="16" t="s">
        <v>1584</v>
      </c>
    </row>
    <row r="464" spans="2:4" ht="15.75" x14ac:dyDescent="0.3">
      <c r="B464" s="14" t="s">
        <v>1585</v>
      </c>
      <c r="C464" s="15" t="str">
        <f>REPLACE(B464,1,9,"18162xx")</f>
        <v>18162xx</v>
      </c>
      <c r="D464" s="16" t="s">
        <v>1586</v>
      </c>
    </row>
    <row r="465" spans="2:4" ht="15.75" x14ac:dyDescent="0.3">
      <c r="B465" s="14" t="s">
        <v>1587</v>
      </c>
      <c r="C465" s="15" t="str">
        <f>REPLACE(B465,1,9,"18163xx")</f>
        <v>18163xx</v>
      </c>
      <c r="D465" s="16" t="s">
        <v>1588</v>
      </c>
    </row>
    <row r="466" spans="2:4" ht="15.75" x14ac:dyDescent="0.3">
      <c r="B466" s="14" t="s">
        <v>1589</v>
      </c>
      <c r="C466" s="15" t="str">
        <f>REPLACE(B466,1,9,"25802xx")</f>
        <v>25802xx</v>
      </c>
      <c r="D466" s="16" t="s">
        <v>1590</v>
      </c>
    </row>
    <row r="467" spans="2:4" ht="15.75" x14ac:dyDescent="0.3">
      <c r="B467" s="14" t="s">
        <v>1591</v>
      </c>
      <c r="C467" s="15" t="str">
        <f>REPLACE(B467,1,9,"25801xx")</f>
        <v>25801xx</v>
      </c>
      <c r="D467" s="16" t="s">
        <v>1592</v>
      </c>
    </row>
    <row r="468" spans="2:4" ht="15.75" x14ac:dyDescent="0.3">
      <c r="B468" s="14" t="s">
        <v>1593</v>
      </c>
      <c r="C468" s="15" t="str">
        <f>REPLACE(B468,1,9,"25812xx")</f>
        <v>25812xx</v>
      </c>
      <c r="D468" s="16" t="s">
        <v>1594</v>
      </c>
    </row>
    <row r="469" spans="2:4" ht="15.75" x14ac:dyDescent="0.3">
      <c r="B469" s="14" t="s">
        <v>1595</v>
      </c>
      <c r="C469" s="15" t="str">
        <f>REPLACE(B469,1,9,"25811xx")</f>
        <v>25811xx</v>
      </c>
      <c r="D469" s="16" t="s">
        <v>1596</v>
      </c>
    </row>
    <row r="470" spans="2:4" ht="15.75" x14ac:dyDescent="0.3">
      <c r="B470" s="14" t="s">
        <v>1597</v>
      </c>
      <c r="C470" s="15" t="str">
        <f>REPLACE(B470,1,9,"25022xx")</f>
        <v>25022xx</v>
      </c>
      <c r="D470" s="16" t="s">
        <v>1598</v>
      </c>
    </row>
    <row r="471" spans="2:4" ht="15.75" x14ac:dyDescent="0.3">
      <c r="B471" s="14" t="s">
        <v>1599</v>
      </c>
      <c r="C471" s="15" t="str">
        <f>REPLACE(B471,1,9,"25021xx")</f>
        <v>25021xx</v>
      </c>
      <c r="D471" s="16" t="s">
        <v>1600</v>
      </c>
    </row>
    <row r="472" spans="2:4" ht="15.75" x14ac:dyDescent="0.3">
      <c r="B472" s="14" t="s">
        <v>1601</v>
      </c>
      <c r="C472" s="15" t="str">
        <f>REPLACE(B472,1,9,"25023xx")</f>
        <v>25023xx</v>
      </c>
      <c r="D472" s="16" t="s">
        <v>1602</v>
      </c>
    </row>
    <row r="473" spans="2:4" ht="15.75" x14ac:dyDescent="0.3">
      <c r="B473" s="14" t="s">
        <v>1603</v>
      </c>
      <c r="C473" s="15" t="str">
        <f>REPLACE(B473,1,9,"25102xx")</f>
        <v>25102xx</v>
      </c>
      <c r="D473" s="16" t="s">
        <v>1604</v>
      </c>
    </row>
    <row r="474" spans="2:4" ht="15.75" x14ac:dyDescent="0.3">
      <c r="B474" s="14" t="s">
        <v>1605</v>
      </c>
      <c r="C474" s="15" t="str">
        <f>REPLACE(B474,1,9,"25101xx")</f>
        <v>25101xx</v>
      </c>
      <c r="D474" s="16" t="s">
        <v>1606</v>
      </c>
    </row>
    <row r="475" spans="2:4" ht="15.75" x14ac:dyDescent="0.3">
      <c r="B475" s="14" t="s">
        <v>1607</v>
      </c>
      <c r="C475" s="15" t="str">
        <f>REPLACE(B475,1,9,"25141xx")</f>
        <v>25141xx</v>
      </c>
      <c r="D475" s="16" t="s">
        <v>1608</v>
      </c>
    </row>
    <row r="476" spans="2:4" ht="15.75" x14ac:dyDescent="0.3">
      <c r="B476" s="14" t="s">
        <v>1609</v>
      </c>
      <c r="C476" s="15" t="str">
        <f>REPLACE(B476,1,9,"25161xx")</f>
        <v>25161xx</v>
      </c>
      <c r="D476" s="16" t="s">
        <v>1610</v>
      </c>
    </row>
    <row r="477" spans="2:4" ht="15.75" x14ac:dyDescent="0.3">
      <c r="B477" s="14" t="s">
        <v>1611</v>
      </c>
      <c r="C477" s="15" t="str">
        <f>REPLACE(B477,1,9,"25166xx")</f>
        <v>25166xx</v>
      </c>
      <c r="D477" s="16" t="s">
        <v>1612</v>
      </c>
    </row>
    <row r="478" spans="2:4" ht="15.75" x14ac:dyDescent="0.3">
      <c r="B478" s="14" t="s">
        <v>1613</v>
      </c>
      <c r="C478" s="15" t="str">
        <f>REPLACE(B478,1,9,"25164xx")</f>
        <v>25164xx</v>
      </c>
      <c r="D478" s="16" t="s">
        <v>1614</v>
      </c>
    </row>
    <row r="479" spans="2:4" ht="15.75" x14ac:dyDescent="0.3">
      <c r="B479" s="14" t="s">
        <v>1615</v>
      </c>
      <c r="C479" s="15" t="str">
        <f>REPLACE(B479,1,9,"25503xx")</f>
        <v>25503xx</v>
      </c>
      <c r="D479" s="16" t="s">
        <v>279</v>
      </c>
    </row>
    <row r="480" spans="2:4" ht="15.75" x14ac:dyDescent="0.3">
      <c r="B480" s="14" t="s">
        <v>1616</v>
      </c>
      <c r="C480" s="15" t="str">
        <f>REPLACE(B480,1,9,"25502xx")</f>
        <v>25502xx</v>
      </c>
      <c r="D480" s="16" t="s">
        <v>1617</v>
      </c>
    </row>
    <row r="481" spans="2:4" ht="15.75" x14ac:dyDescent="0.3">
      <c r="B481" s="14" t="s">
        <v>1618</v>
      </c>
      <c r="C481" s="15" t="str">
        <f>REPLACE(B481,1,9,"25501xx")</f>
        <v>25501xx</v>
      </c>
      <c r="D481" s="16" t="s">
        <v>1619</v>
      </c>
    </row>
    <row r="482" spans="2:4" ht="15.75" x14ac:dyDescent="0.3">
      <c r="B482" s="14" t="s">
        <v>1620</v>
      </c>
      <c r="C482" s="15" t="str">
        <f>REPLACE(B482,1,9,"25547xx")</f>
        <v>25547xx</v>
      </c>
      <c r="D482" s="16" t="s">
        <v>1621</v>
      </c>
    </row>
    <row r="483" spans="2:4" ht="15.75" x14ac:dyDescent="0.3">
      <c r="B483" s="14" t="s">
        <v>1622</v>
      </c>
      <c r="C483" s="15" t="str">
        <f>REPLACE(B483,1,9,"25548xx")</f>
        <v>25548xx</v>
      </c>
      <c r="D483" s="16" t="s">
        <v>1623</v>
      </c>
    </row>
    <row r="484" spans="2:4" ht="15.75" x14ac:dyDescent="0.3">
      <c r="B484" s="14" t="s">
        <v>1624</v>
      </c>
      <c r="C484" s="15" t="str">
        <f>REPLACE(B484,1,9,"25541xx")</f>
        <v>25541xx</v>
      </c>
      <c r="D484" s="16" t="s">
        <v>1625</v>
      </c>
    </row>
    <row r="485" spans="2:4" ht="15.75" x14ac:dyDescent="0.3">
      <c r="B485" s="14" t="s">
        <v>1626</v>
      </c>
      <c r="C485" s="15" t="str">
        <f>REPLACE(B485,1,9,"25544xx")</f>
        <v>25544xx</v>
      </c>
      <c r="D485" s="16" t="s">
        <v>1627</v>
      </c>
    </row>
    <row r="486" spans="2:4" ht="15.75" x14ac:dyDescent="0.3">
      <c r="B486" s="14" t="s">
        <v>1628</v>
      </c>
      <c r="C486" s="15" t="str">
        <f>REPLACE(B486,1,9,"25542xx")</f>
        <v>25542xx</v>
      </c>
      <c r="D486" s="16" t="s">
        <v>1629</v>
      </c>
    </row>
    <row r="487" spans="2:4" ht="15.75" x14ac:dyDescent="0.3">
      <c r="B487" s="14" t="s">
        <v>1630</v>
      </c>
      <c r="C487" s="15" t="str">
        <f>REPLACE(B487,1,9,"25543xx")</f>
        <v>25543xx</v>
      </c>
      <c r="D487" s="16" t="s">
        <v>1631</v>
      </c>
    </row>
    <row r="488" spans="2:4" ht="15.75" x14ac:dyDescent="0.3">
      <c r="B488" s="14" t="s">
        <v>1632</v>
      </c>
      <c r="C488" s="15" t="str">
        <f>REPLACE(B488,1,9,"25545xx")</f>
        <v>25545xx</v>
      </c>
      <c r="D488" s="16" t="s">
        <v>1633</v>
      </c>
    </row>
    <row r="489" spans="2:4" ht="15.75" x14ac:dyDescent="0.3">
      <c r="B489" s="14" t="s">
        <v>1634</v>
      </c>
      <c r="C489" s="15" t="str">
        <f>REPLACE(B489,1,9,"25546xx")</f>
        <v>25546xx</v>
      </c>
      <c r="D489" s="16" t="s">
        <v>1635</v>
      </c>
    </row>
    <row r="490" spans="2:4" ht="15.75" x14ac:dyDescent="0.3">
      <c r="B490" s="14" t="s">
        <v>1636</v>
      </c>
      <c r="C490" s="15" t="str">
        <f>REPLACE(B490,1,9,"25601xx")</f>
        <v>25601xx</v>
      </c>
      <c r="D490" s="16" t="s">
        <v>283</v>
      </c>
    </row>
    <row r="491" spans="2:4" ht="15.75" x14ac:dyDescent="0.3">
      <c r="B491" s="14" t="s">
        <v>1637</v>
      </c>
      <c r="C491" s="15" t="str">
        <f>REPLACE(B491,1,9,"25642xx")</f>
        <v>25642xx</v>
      </c>
      <c r="D491" s="16" t="s">
        <v>1638</v>
      </c>
    </row>
    <row r="492" spans="2:4" ht="15.75" x14ac:dyDescent="0.3">
      <c r="B492" s="14" t="s">
        <v>1639</v>
      </c>
      <c r="C492" s="15" t="str">
        <f>REPLACE(B492,1,9,"25641xx")</f>
        <v>25641xx</v>
      </c>
      <c r="D492" s="16" t="s">
        <v>1640</v>
      </c>
    </row>
    <row r="493" spans="2:4" ht="15.75" x14ac:dyDescent="0.3">
      <c r="B493" s="14" t="s">
        <v>1641</v>
      </c>
      <c r="C493" s="15" t="str">
        <f>REPLACE(B493,1,9,"25011xx")</f>
        <v>25011xx</v>
      </c>
      <c r="D493" s="16" t="s">
        <v>1642</v>
      </c>
    </row>
    <row r="494" spans="2:4" ht="15.75" x14ac:dyDescent="0.3">
      <c r="B494" s="14" t="s">
        <v>1643</v>
      </c>
      <c r="C494" s="15" t="str">
        <f>REPLACE(B495,1,9,"01021xx")</f>
        <v>01021xx</v>
      </c>
      <c r="D494" s="16" t="s">
        <v>288</v>
      </c>
    </row>
    <row r="495" spans="2:4" ht="15.75" x14ac:dyDescent="0.3">
      <c r="B495" s="14" t="s">
        <v>1644</v>
      </c>
      <c r="C495" s="15" t="str">
        <f>REPLACE(B496,1,9,"01031xx")</f>
        <v>01031xx</v>
      </c>
      <c r="D495" s="16" t="s">
        <v>290</v>
      </c>
    </row>
    <row r="496" spans="2:4" ht="15.75" x14ac:dyDescent="0.3">
      <c r="B496" s="14" t="s">
        <v>1645</v>
      </c>
      <c r="C496" s="15" t="str">
        <f>REPLACE(B497,1,9,"01032xx")</f>
        <v>01032xx</v>
      </c>
      <c r="D496" s="16" t="s">
        <v>1646</v>
      </c>
    </row>
    <row r="497" spans="2:4" ht="15.75" x14ac:dyDescent="0.3">
      <c r="B497" s="14" t="s">
        <v>1647</v>
      </c>
      <c r="C497" s="15" t="str">
        <f>REPLACE(B498,1,9,"01041xx")</f>
        <v>01041xx</v>
      </c>
      <c r="D497" s="16" t="s">
        <v>292</v>
      </c>
    </row>
    <row r="498" spans="2:4" ht="15.75" x14ac:dyDescent="0.3">
      <c r="B498" s="14" t="s">
        <v>1648</v>
      </c>
      <c r="C498" s="15" t="str">
        <f>REPLACE(B499,1,9,"01051xx")</f>
        <v>01051xx</v>
      </c>
      <c r="D498" s="16" t="s">
        <v>294</v>
      </c>
    </row>
    <row r="499" spans="2:4" ht="15.75" x14ac:dyDescent="0.3">
      <c r="B499" s="14" t="s">
        <v>1649</v>
      </c>
      <c r="C499" s="15" t="str">
        <f>REPLACE(B500,1,9,"01061xx")</f>
        <v>01061xx</v>
      </c>
      <c r="D499" s="16" t="s">
        <v>296</v>
      </c>
    </row>
    <row r="500" spans="2:4" ht="15.75" x14ac:dyDescent="0.3">
      <c r="B500" s="14" t="s">
        <v>1650</v>
      </c>
      <c r="C500" s="15" t="str">
        <f>REPLACE(B501,1,9,"01071xx")</f>
        <v>01071xx</v>
      </c>
      <c r="D500" s="16" t="s">
        <v>298</v>
      </c>
    </row>
    <row r="501" spans="2:4" ht="15.75" x14ac:dyDescent="0.3">
      <c r="B501" s="14" t="s">
        <v>1651</v>
      </c>
      <c r="C501" s="15" t="str">
        <f>REPLACE(B502,1,9,"01081xx")</f>
        <v>01081xx</v>
      </c>
      <c r="D501" s="16" t="s">
        <v>300</v>
      </c>
    </row>
    <row r="502" spans="2:4" ht="15.75" x14ac:dyDescent="0.3">
      <c r="B502" s="14" t="s">
        <v>1652</v>
      </c>
      <c r="C502" s="15" t="str">
        <f>REPLACE(B503,1,9,"01091xx")</f>
        <v>01091xx</v>
      </c>
      <c r="D502" s="16" t="s">
        <v>302</v>
      </c>
    </row>
    <row r="503" spans="2:4" ht="15.75" x14ac:dyDescent="0.3">
      <c r="B503" s="14" t="s">
        <v>1653</v>
      </c>
      <c r="C503" s="15" t="str">
        <f>REPLACE(B504,1,9,"01101xx")</f>
        <v>01101xx</v>
      </c>
      <c r="D503" s="16" t="s">
        <v>304</v>
      </c>
    </row>
    <row r="504" spans="2:4" ht="15.75" x14ac:dyDescent="0.3">
      <c r="B504" s="14" t="s">
        <v>1654</v>
      </c>
      <c r="C504" s="15" t="str">
        <f>REPLACE(B505,1,9,"01128xx")</f>
        <v>01128xx</v>
      </c>
      <c r="D504" s="16" t="s">
        <v>1655</v>
      </c>
    </row>
    <row r="505" spans="2:4" ht="15.75" x14ac:dyDescent="0.3">
      <c r="B505" s="14" t="s">
        <v>1656</v>
      </c>
      <c r="C505" s="15" t="str">
        <f>REPLACE(B506,1,9,"01124xx")</f>
        <v>01124xx</v>
      </c>
      <c r="D505" s="16" t="s">
        <v>1657</v>
      </c>
    </row>
    <row r="506" spans="2:4" ht="15.75" x14ac:dyDescent="0.3">
      <c r="B506" s="14" t="s">
        <v>1658</v>
      </c>
      <c r="C506" s="15" t="str">
        <f>REPLACE(B507,1,9,"01123xx")</f>
        <v>01123xx</v>
      </c>
      <c r="D506" s="16" t="s">
        <v>1659</v>
      </c>
    </row>
    <row r="507" spans="2:4" ht="15.75" x14ac:dyDescent="0.3">
      <c r="B507" s="14" t="s">
        <v>1660</v>
      </c>
      <c r="C507" s="15" t="str">
        <f>REPLACE(B508,1,9,"01121xx")</f>
        <v>01121xx</v>
      </c>
      <c r="D507" s="16" t="s">
        <v>1661</v>
      </c>
    </row>
    <row r="508" spans="2:4" ht="15.75" x14ac:dyDescent="0.3">
      <c r="B508" s="14" t="s">
        <v>1662</v>
      </c>
      <c r="C508" s="15" t="str">
        <f>REPLACE(B509,1,9,"01127xx")</f>
        <v>01127xx</v>
      </c>
      <c r="D508" s="16" t="s">
        <v>1663</v>
      </c>
    </row>
    <row r="509" spans="2:4" ht="15.75" x14ac:dyDescent="0.3">
      <c r="B509" s="14" t="s">
        <v>1664</v>
      </c>
      <c r="C509" s="15" t="str">
        <f>REPLACE(B510,1,9,"01122xx")</f>
        <v>01122xx</v>
      </c>
      <c r="D509" s="16" t="s">
        <v>1665</v>
      </c>
    </row>
    <row r="510" spans="2:4" ht="15.75" x14ac:dyDescent="0.3">
      <c r="B510" s="14" t="s">
        <v>1666</v>
      </c>
      <c r="C510" s="15" t="str">
        <f>REPLACE(B511,1,9,"01125xx")</f>
        <v>01125xx</v>
      </c>
      <c r="D510" s="16" t="s">
        <v>1667</v>
      </c>
    </row>
    <row r="511" spans="2:4" ht="15.75" x14ac:dyDescent="0.3">
      <c r="B511" s="14" t="s">
        <v>1668</v>
      </c>
      <c r="C511" s="15" t="str">
        <f>REPLACE(B512,1,9,"01126xx")</f>
        <v>01126xx</v>
      </c>
      <c r="D511" s="16" t="s">
        <v>1669</v>
      </c>
    </row>
    <row r="512" spans="2:4" ht="15.75" x14ac:dyDescent="0.3">
      <c r="B512" s="14" t="s">
        <v>1670</v>
      </c>
      <c r="C512" s="15" t="str">
        <f>REPLACE(B513,1,9,"01141xx")</f>
        <v>01141xx</v>
      </c>
      <c r="D512" s="16" t="s">
        <v>308</v>
      </c>
    </row>
    <row r="513" spans="2:4" ht="15.75" x14ac:dyDescent="0.3">
      <c r="B513" s="14" t="s">
        <v>1671</v>
      </c>
      <c r="C513" s="15" t="str">
        <f>REPLACE(B513,1,9,"05022xx")</f>
        <v>05022xx</v>
      </c>
      <c r="D513" s="16" t="s">
        <v>1672</v>
      </c>
    </row>
    <row r="514" spans="2:4" ht="15.75" x14ac:dyDescent="0.3">
      <c r="B514" s="14" t="s">
        <v>1673</v>
      </c>
      <c r="C514" s="15" t="str">
        <f>REPLACE(B514,1,9,"05021xx")</f>
        <v>05021xx</v>
      </c>
      <c r="D514" s="16" t="s">
        <v>1674</v>
      </c>
    </row>
    <row r="515" spans="2:4" ht="15.75" x14ac:dyDescent="0.3">
      <c r="B515" s="14" t="s">
        <v>1675</v>
      </c>
      <c r="C515" s="15" t="str">
        <f>REPLACE(B515,1,9,"05101xx")</f>
        <v>05101xx</v>
      </c>
      <c r="D515" s="16" t="s">
        <v>1676</v>
      </c>
    </row>
    <row r="516" spans="2:4" ht="15.75" x14ac:dyDescent="0.3">
      <c r="B516" s="14" t="s">
        <v>1677</v>
      </c>
      <c r="C516" s="15" t="str">
        <f>REPLACE(B516,1,9,"05102xx")</f>
        <v>05102xx</v>
      </c>
      <c r="D516" s="16" t="s">
        <v>1678</v>
      </c>
    </row>
    <row r="517" spans="2:4" ht="15.75" x14ac:dyDescent="0.3">
      <c r="B517" s="14" t="s">
        <v>1679</v>
      </c>
      <c r="C517" s="15" t="str">
        <f>REPLACE(B517,1,9,"05104xx")</f>
        <v>05104xx</v>
      </c>
      <c r="D517" s="16" t="s">
        <v>1680</v>
      </c>
    </row>
    <row r="518" spans="2:4" ht="15.75" x14ac:dyDescent="0.3">
      <c r="B518" s="14" t="s">
        <v>1681</v>
      </c>
      <c r="C518" s="15" t="str">
        <f>REPLACE(B518,1,9,"05105xx")</f>
        <v>05105xx</v>
      </c>
      <c r="D518" s="16" t="s">
        <v>1682</v>
      </c>
    </row>
    <row r="519" spans="2:4" ht="15.75" x14ac:dyDescent="0.3">
      <c r="B519" s="14" t="s">
        <v>1683</v>
      </c>
      <c r="C519" s="15" t="str">
        <f>REPLACE(B519,1,9,"05103xx")</f>
        <v>05103xx</v>
      </c>
      <c r="D519" s="16" t="s">
        <v>1684</v>
      </c>
    </row>
    <row r="520" spans="2:4" ht="15.75" x14ac:dyDescent="0.3">
      <c r="B520" s="14" t="s">
        <v>1685</v>
      </c>
      <c r="C520" s="15" t="str">
        <f>REPLACE(B520,1,9,"05011xx")</f>
        <v>05011xx</v>
      </c>
      <c r="D520" s="16" t="s">
        <v>19</v>
      </c>
    </row>
    <row r="521" spans="2:4" ht="15.75" x14ac:dyDescent="0.3">
      <c r="B521" s="14" t="s">
        <v>1686</v>
      </c>
      <c r="C521" s="15" t="str">
        <f>REPLACE(B521,1,9,"05031xx")</f>
        <v>05031xx</v>
      </c>
      <c r="D521" s="16" t="s">
        <v>20</v>
      </c>
    </row>
    <row r="522" spans="2:4" ht="15.75" x14ac:dyDescent="0.3">
      <c r="B522" s="14" t="s">
        <v>1687</v>
      </c>
      <c r="C522" s="15" t="str">
        <f>REPLACE(B522,1,9,"05111xx")</f>
        <v>05111xx</v>
      </c>
      <c r="D522" s="16" t="s">
        <v>21</v>
      </c>
    </row>
    <row r="523" spans="2:4" ht="15.75" x14ac:dyDescent="0.3">
      <c r="B523" s="14" t="s">
        <v>1688</v>
      </c>
      <c r="C523" s="15" t="str">
        <f>REPLACE(B523,1,9,"07011xx")</f>
        <v>07011xx</v>
      </c>
      <c r="D523" s="16" t="s">
        <v>317</v>
      </c>
    </row>
    <row r="524" spans="2:4" ht="15.75" x14ac:dyDescent="0.3">
      <c r="B524" s="14" t="s">
        <v>1689</v>
      </c>
      <c r="C524" s="15" t="str">
        <f>REPLACE(B524,1,9,"07021xx")</f>
        <v>07021xx</v>
      </c>
      <c r="D524" s="16" t="s">
        <v>1690</v>
      </c>
    </row>
    <row r="525" spans="2:4" ht="15.75" x14ac:dyDescent="0.3">
      <c r="B525" s="14" t="s">
        <v>1691</v>
      </c>
      <c r="C525" s="15" t="str">
        <f>REPLACE(B525,1,9,"07034xx")</f>
        <v>07034xx</v>
      </c>
      <c r="D525" s="16" t="s">
        <v>1692</v>
      </c>
    </row>
    <row r="526" spans="2:4" ht="15.75" x14ac:dyDescent="0.3">
      <c r="B526" s="14" t="s">
        <v>1693</v>
      </c>
      <c r="C526" s="15" t="str">
        <f>REPLACE(B526,1,9,"07038xx")</f>
        <v>07038xx</v>
      </c>
      <c r="D526" s="16" t="s">
        <v>1694</v>
      </c>
    </row>
    <row r="527" spans="2:4" ht="15.75" x14ac:dyDescent="0.3">
      <c r="B527" s="14" t="s">
        <v>1695</v>
      </c>
      <c r="C527" s="15" t="str">
        <f>REPLACE(B527,1,9,"07035xx")</f>
        <v>07035xx</v>
      </c>
      <c r="D527" s="16" t="s">
        <v>1696</v>
      </c>
    </row>
    <row r="528" spans="2:4" ht="15.75" x14ac:dyDescent="0.3">
      <c r="B528" s="14" t="s">
        <v>1697</v>
      </c>
      <c r="C528" s="15" t="str">
        <f>REPLACE(B528,1,9,"07033xx")</f>
        <v>07033xx</v>
      </c>
      <c r="D528" s="16" t="s">
        <v>1698</v>
      </c>
    </row>
    <row r="529" spans="2:4" ht="15.75" x14ac:dyDescent="0.3">
      <c r="B529" s="14" t="s">
        <v>1699</v>
      </c>
      <c r="C529" s="15" t="str">
        <f>REPLACE(B529,1,9,"07037xx")</f>
        <v>07037xx</v>
      </c>
      <c r="D529" s="16" t="s">
        <v>1700</v>
      </c>
    </row>
    <row r="530" spans="2:4" ht="15.75" x14ac:dyDescent="0.3">
      <c r="B530" s="14" t="s">
        <v>1701</v>
      </c>
      <c r="C530" s="15" t="str">
        <f>REPLACE(B530,1,9,"07039xx")</f>
        <v>07039xx</v>
      </c>
      <c r="D530" s="16" t="s">
        <v>1702</v>
      </c>
    </row>
    <row r="531" spans="2:4" ht="15.75" x14ac:dyDescent="0.3">
      <c r="B531" s="14" t="s">
        <v>1703</v>
      </c>
      <c r="C531" s="15" t="str">
        <f>REPLACE(B531,1,9,"07031xx")</f>
        <v>07031xx</v>
      </c>
      <c r="D531" s="16" t="s">
        <v>1704</v>
      </c>
    </row>
    <row r="532" spans="2:4" ht="15.75" x14ac:dyDescent="0.3">
      <c r="B532" s="14" t="s">
        <v>1705</v>
      </c>
      <c r="C532" s="15" t="str">
        <f>REPLACE(B532,1,9,"07032xx")</f>
        <v>07032xx</v>
      </c>
      <c r="D532" s="16" t="s">
        <v>1706</v>
      </c>
    </row>
    <row r="533" spans="2:4" ht="15.75" x14ac:dyDescent="0.3">
      <c r="B533" s="14" t="s">
        <v>1707</v>
      </c>
      <c r="C533" s="15" t="str">
        <f>REPLACE(B533,1,9,"07036xx")</f>
        <v>07036xx</v>
      </c>
      <c r="D533" s="16" t="s">
        <v>1708</v>
      </c>
    </row>
    <row r="534" spans="2:4" ht="15.75" x14ac:dyDescent="0.3">
      <c r="B534" s="14" t="s">
        <v>1709</v>
      </c>
      <c r="C534" s="15" t="str">
        <f>REPLACE(B534,1,9,"07043xx")</f>
        <v>07043xx</v>
      </c>
      <c r="D534" s="16" t="s">
        <v>1710</v>
      </c>
    </row>
    <row r="535" spans="2:4" ht="15.75" x14ac:dyDescent="0.3">
      <c r="B535" s="14" t="s">
        <v>1711</v>
      </c>
      <c r="C535" s="15" t="str">
        <f>REPLACE(B535,1,9,"07042xx")</f>
        <v>07042xx</v>
      </c>
      <c r="D535" s="16" t="s">
        <v>1712</v>
      </c>
    </row>
    <row r="536" spans="2:4" ht="15.75" x14ac:dyDescent="0.3">
      <c r="B536" s="14" t="s">
        <v>1713</v>
      </c>
      <c r="C536" s="15" t="str">
        <f>REPLACE(B536,1,9,"07044xx")</f>
        <v>07044xx</v>
      </c>
      <c r="D536" s="16" t="s">
        <v>22</v>
      </c>
    </row>
    <row r="537" spans="2:4" ht="15.75" x14ac:dyDescent="0.3">
      <c r="B537" s="14" t="s">
        <v>1714</v>
      </c>
      <c r="C537" s="15" t="str">
        <f>REPLACE(B537,1,9,"07041xx")</f>
        <v>07041xx</v>
      </c>
      <c r="D537" s="16" t="s">
        <v>1715</v>
      </c>
    </row>
    <row r="538" spans="2:4" ht="15.75" x14ac:dyDescent="0.3">
      <c r="B538" s="14" t="s">
        <v>1716</v>
      </c>
      <c r="C538" s="15" t="str">
        <f>REPLACE(B538,1,9,"07045xx")</f>
        <v>07045xx</v>
      </c>
      <c r="D538" s="16" t="s">
        <v>1717</v>
      </c>
    </row>
    <row r="539" spans="2:4" ht="15.75" x14ac:dyDescent="0.3">
      <c r="B539" s="14" t="s">
        <v>1718</v>
      </c>
      <c r="C539" s="15" t="str">
        <f>REPLACE(B539,1,9,"07051xx")</f>
        <v>07051xx</v>
      </c>
      <c r="D539" s="16" t="s">
        <v>1719</v>
      </c>
    </row>
    <row r="540" spans="2:4" ht="15.75" x14ac:dyDescent="0.3">
      <c r="B540" s="14" t="s">
        <v>1720</v>
      </c>
      <c r="C540" s="15" t="str">
        <f>REPLACE(B540,1,9,"07067xx")</f>
        <v>07067xx</v>
      </c>
      <c r="D540" s="16" t="s">
        <v>1721</v>
      </c>
    </row>
    <row r="541" spans="2:4" ht="15.75" x14ac:dyDescent="0.3">
      <c r="B541" s="14" t="s">
        <v>1722</v>
      </c>
      <c r="C541" s="15" t="str">
        <f>REPLACE(B541,1,9,"07064xx")</f>
        <v>07064xx</v>
      </c>
      <c r="D541" s="16" t="s">
        <v>1723</v>
      </c>
    </row>
    <row r="542" spans="2:4" ht="15.75" x14ac:dyDescent="0.3">
      <c r="B542" s="14" t="s">
        <v>1724</v>
      </c>
      <c r="C542" s="15" t="str">
        <f>REPLACE(B542,1,9,"07061xx")</f>
        <v>07061xx</v>
      </c>
      <c r="D542" s="16" t="s">
        <v>1725</v>
      </c>
    </row>
    <row r="543" spans="2:4" ht="15.75" x14ac:dyDescent="0.3">
      <c r="B543" s="14" t="s">
        <v>1726</v>
      </c>
      <c r="C543" s="15" t="str">
        <f>REPLACE(B543,1,9,"07065xx")</f>
        <v>07065xx</v>
      </c>
      <c r="D543" s="16" t="s">
        <v>1727</v>
      </c>
    </row>
    <row r="544" spans="2:4" ht="15.75" x14ac:dyDescent="0.3">
      <c r="B544" s="14" t="s">
        <v>1728</v>
      </c>
      <c r="C544" s="15" t="str">
        <f>REPLACE(B544,1,9,"07062xx")</f>
        <v>07062xx</v>
      </c>
      <c r="D544" s="16" t="s">
        <v>1729</v>
      </c>
    </row>
    <row r="545" spans="2:4" ht="15.75" x14ac:dyDescent="0.3">
      <c r="B545" s="14" t="s">
        <v>1730</v>
      </c>
      <c r="C545" s="15" t="str">
        <f>REPLACE(B545,1,9,"07063xx")</f>
        <v>07063xx</v>
      </c>
      <c r="D545" s="16" t="s">
        <v>1731</v>
      </c>
    </row>
    <row r="546" spans="2:4" ht="15.75" x14ac:dyDescent="0.3">
      <c r="B546" s="14" t="s">
        <v>1732</v>
      </c>
      <c r="C546" s="15" t="str">
        <f>REPLACE(B546,1,9,"07066xx")</f>
        <v>07066xx</v>
      </c>
      <c r="D546" s="16" t="s">
        <v>1733</v>
      </c>
    </row>
    <row r="547" spans="2:4" ht="15.75" x14ac:dyDescent="0.3">
      <c r="B547" s="14" t="s">
        <v>1734</v>
      </c>
      <c r="C547" s="15" t="str">
        <f>REPLACE(B547,1,9,"09021xx")</f>
        <v>09021xx</v>
      </c>
      <c r="D547" s="16" t="s">
        <v>325</v>
      </c>
    </row>
    <row r="548" spans="2:4" ht="15.75" x14ac:dyDescent="0.3">
      <c r="B548" s="14" t="s">
        <v>1735</v>
      </c>
      <c r="C548" s="15" t="str">
        <f>REPLACE(B548,1,9,"09101xx")</f>
        <v>09101xx</v>
      </c>
      <c r="D548" s="16" t="s">
        <v>327</v>
      </c>
    </row>
    <row r="549" spans="2:4" ht="15.75" x14ac:dyDescent="0.3">
      <c r="B549" s="14" t="s">
        <v>1736</v>
      </c>
      <c r="C549" s="15" t="str">
        <f>REPLACE(B549,1,9,"09111xx")</f>
        <v>09111xx</v>
      </c>
      <c r="D549" s="16" t="s">
        <v>329</v>
      </c>
    </row>
    <row r="550" spans="2:4" ht="15.75" x14ac:dyDescent="0.3">
      <c r="B550" s="14" t="s">
        <v>1737</v>
      </c>
      <c r="C550" s="15" t="str">
        <f>REPLACE(B550,1,9,"09121xx")</f>
        <v>09121xx</v>
      </c>
      <c r="D550" s="16" t="s">
        <v>331</v>
      </c>
    </row>
    <row r="551" spans="2:4" ht="15.75" x14ac:dyDescent="0.3">
      <c r="B551" s="14" t="s">
        <v>1738</v>
      </c>
      <c r="C551" s="15" t="str">
        <f>REPLACE(B551,1,9,"09131xx")</f>
        <v>09131xx</v>
      </c>
      <c r="D551" s="16" t="s">
        <v>333</v>
      </c>
    </row>
    <row r="552" spans="2:4" ht="15.75" x14ac:dyDescent="0.3">
      <c r="B552" s="14" t="s">
        <v>1739</v>
      </c>
      <c r="C552" s="15" t="str">
        <f>REPLACE(B552,1,9,"09141xx")</f>
        <v>09141xx</v>
      </c>
      <c r="D552" s="16" t="s">
        <v>335</v>
      </c>
    </row>
    <row r="553" spans="2:4" ht="15.75" x14ac:dyDescent="0.3">
      <c r="B553" s="14" t="s">
        <v>1740</v>
      </c>
      <c r="C553" s="15" t="str">
        <f>REPLACE(B553,1,9,"09151xx")</f>
        <v>09151xx</v>
      </c>
      <c r="D553" s="16" t="s">
        <v>337</v>
      </c>
    </row>
    <row r="554" spans="2:4" ht="15.75" x14ac:dyDescent="0.3">
      <c r="B554" s="14" t="s">
        <v>1741</v>
      </c>
      <c r="C554" s="15" t="str">
        <f>REPLACE(B554,1,9,"09161xx")</f>
        <v>09161xx</v>
      </c>
      <c r="D554" s="16" t="s">
        <v>339</v>
      </c>
    </row>
    <row r="555" spans="2:4" ht="15.75" x14ac:dyDescent="0.3">
      <c r="B555" s="14" t="s">
        <v>1742</v>
      </c>
      <c r="C555" s="15" t="str">
        <f>REPLACE(B555,1,9,"09171xx")</f>
        <v>09171xx</v>
      </c>
      <c r="D555" s="16" t="s">
        <v>341</v>
      </c>
    </row>
    <row r="556" spans="2:4" ht="15.75" x14ac:dyDescent="0.3">
      <c r="B556" s="14" t="s">
        <v>1743</v>
      </c>
      <c r="C556" s="15" t="str">
        <f>REPLACE(B556,1,9,"09181xx")</f>
        <v>09181xx</v>
      </c>
      <c r="D556" s="16" t="s">
        <v>343</v>
      </c>
    </row>
    <row r="557" spans="2:4" ht="15.75" x14ac:dyDescent="0.3">
      <c r="B557" s="14" t="s">
        <v>1744</v>
      </c>
      <c r="C557" s="15" t="str">
        <f>REPLACE(B557,1,9,"20011xx")</f>
        <v>20011xx</v>
      </c>
      <c r="D557" s="16" t="s">
        <v>345</v>
      </c>
    </row>
    <row r="558" spans="2:4" ht="15.75" x14ac:dyDescent="0.3">
      <c r="B558" s="14" t="s">
        <v>1745</v>
      </c>
      <c r="C558" s="15" t="str">
        <f>REPLACE(B558,1,9,"20021xx")</f>
        <v>20021xx</v>
      </c>
      <c r="D558" s="16" t="s">
        <v>347</v>
      </c>
    </row>
    <row r="559" spans="2:4" ht="15.75" x14ac:dyDescent="0.3">
      <c r="B559" s="14" t="s">
        <v>1746</v>
      </c>
      <c r="C559" s="15" t="str">
        <f>REPLACE(B559,1,9,"20031xx")</f>
        <v>20031xx</v>
      </c>
      <c r="D559" s="16" t="s">
        <v>349</v>
      </c>
    </row>
    <row r="560" spans="2:4" ht="15.75" x14ac:dyDescent="0.3">
      <c r="B560" s="14" t="s">
        <v>1747</v>
      </c>
      <c r="C560" s="15" t="str">
        <f>REPLACE(B560,1,9,"20041xx")</f>
        <v>20041xx</v>
      </c>
      <c r="D560" s="16" t="s">
        <v>351</v>
      </c>
    </row>
    <row r="561" spans="2:4" ht="15.75" x14ac:dyDescent="0.3">
      <c r="B561" s="14" t="s">
        <v>1748</v>
      </c>
      <c r="C561" s="15" t="str">
        <f>REPLACE(B561,1,9,"20051xx")</f>
        <v>20051xx</v>
      </c>
      <c r="D561" s="16" t="s">
        <v>353</v>
      </c>
    </row>
    <row r="562" spans="2:4" ht="15.75" x14ac:dyDescent="0.3">
      <c r="B562" s="14" t="s">
        <v>1749</v>
      </c>
      <c r="C562" s="15" t="str">
        <f>REPLACE(B562,1,9,"20101xx")</f>
        <v>20101xx</v>
      </c>
      <c r="D562" s="16" t="s">
        <v>355</v>
      </c>
    </row>
    <row r="563" spans="2:4" ht="15.75" x14ac:dyDescent="0.3">
      <c r="B563" s="14" t="s">
        <v>1750</v>
      </c>
      <c r="C563" s="15" t="str">
        <f>REPLACE(B563,1,9,"20601xx")</f>
        <v>20601xx</v>
      </c>
      <c r="D563" s="16" t="s">
        <v>357</v>
      </c>
    </row>
    <row r="564" spans="2:4" ht="15.75" x14ac:dyDescent="0.3">
      <c r="B564" s="14" t="s">
        <v>1751</v>
      </c>
      <c r="C564" s="15" t="str">
        <f>REPLACE(B564,1,9,"20621xx")</f>
        <v>20621xx</v>
      </c>
      <c r="D564" s="16" t="s">
        <v>359</v>
      </c>
    </row>
    <row r="565" spans="2:4" ht="15.75" x14ac:dyDescent="0.3">
      <c r="B565" s="14" t="s">
        <v>1752</v>
      </c>
      <c r="C565" s="15" t="str">
        <f>REPLACE(B565,1,9,"20641xx")</f>
        <v>20641xx</v>
      </c>
      <c r="D565" s="16" t="s">
        <v>361</v>
      </c>
    </row>
    <row r="566" spans="2:4" ht="15.75" x14ac:dyDescent="0.3">
      <c r="B566" s="14" t="s">
        <v>1753</v>
      </c>
      <c r="C566" s="15" t="str">
        <f>REPLACE(B566,1,9,"20681xx")</f>
        <v>20681xx</v>
      </c>
      <c r="D566" s="16" t="s">
        <v>363</v>
      </c>
    </row>
    <row r="567" spans="2:4" ht="15.75" x14ac:dyDescent="0.3">
      <c r="B567" s="14" t="s">
        <v>1754</v>
      </c>
      <c r="C567" s="15" t="str">
        <f>REPLACE(B567,1,9,"20701xx")</f>
        <v>20701xx</v>
      </c>
      <c r="D567" s="16" t="s">
        <v>365</v>
      </c>
    </row>
    <row r="568" spans="2:4" ht="15.75" x14ac:dyDescent="0.3">
      <c r="B568" s="14" t="s">
        <v>1755</v>
      </c>
      <c r="C568" s="15" t="str">
        <f>REPLACE(B568,1,9,"20721xx")</f>
        <v>20721xx</v>
      </c>
      <c r="D568" s="16" t="s">
        <v>367</v>
      </c>
    </row>
    <row r="569" spans="2:4" ht="15.75" x14ac:dyDescent="0.3">
      <c r="B569" s="14" t="s">
        <v>1756</v>
      </c>
      <c r="C569" s="15" t="str">
        <f>REPLACE(B569,1,9,"22021xx")</f>
        <v>22021xx</v>
      </c>
      <c r="D569" s="16" t="s">
        <v>1757</v>
      </c>
    </row>
    <row r="570" spans="2:4" ht="15.75" x14ac:dyDescent="0.3">
      <c r="B570" s="14" t="s">
        <v>1758</v>
      </c>
      <c r="C570" s="15" t="str">
        <f>REPLACE(B570,1,9,"22022xx")</f>
        <v>22022xx</v>
      </c>
      <c r="D570" s="16" t="s">
        <v>1759</v>
      </c>
    </row>
    <row r="571" spans="2:4" ht="15.75" x14ac:dyDescent="0.3">
      <c r="B571" s="14" t="s">
        <v>1760</v>
      </c>
      <c r="C571" s="15" t="str">
        <f>REPLACE(B571,1,9,"22025xx")</f>
        <v>22025xx</v>
      </c>
      <c r="D571" s="16" t="s">
        <v>1761</v>
      </c>
    </row>
    <row r="572" spans="2:4" ht="15.75" x14ac:dyDescent="0.3">
      <c r="B572" s="14" t="s">
        <v>1762</v>
      </c>
      <c r="C572" s="15" t="str">
        <f>REPLACE(B572,1,9,"22024xx")</f>
        <v>22024xx</v>
      </c>
      <c r="D572" s="16" t="s">
        <v>1763</v>
      </c>
    </row>
    <row r="573" spans="2:4" ht="15.75" x14ac:dyDescent="0.3">
      <c r="B573" s="14" t="s">
        <v>1764</v>
      </c>
      <c r="C573" s="15" t="str">
        <f>REPLACE(B573,1,9,"22023xx")</f>
        <v>22023xx</v>
      </c>
      <c r="D573" s="16" t="s">
        <v>1765</v>
      </c>
    </row>
    <row r="574" spans="2:4" ht="15.75" x14ac:dyDescent="0.3">
      <c r="B574" s="14" t="s">
        <v>1766</v>
      </c>
      <c r="C574" s="15" t="str">
        <f>REPLACE(B574,1,9,"22032xx")</f>
        <v>22032xx</v>
      </c>
      <c r="D574" s="16" t="s">
        <v>1767</v>
      </c>
    </row>
    <row r="575" spans="2:4" ht="15.75" x14ac:dyDescent="0.3">
      <c r="B575" s="14" t="s">
        <v>1768</v>
      </c>
      <c r="C575" s="15" t="str">
        <f>REPLACE(B575,1,9,"22031xx")</f>
        <v>22031xx</v>
      </c>
      <c r="D575" s="16" t="s">
        <v>1769</v>
      </c>
    </row>
    <row r="576" spans="2:4" ht="15.75" x14ac:dyDescent="0.3">
      <c r="B576" s="14" t="s">
        <v>1770</v>
      </c>
      <c r="C576" s="15" t="str">
        <f>REPLACE(B576,1,9,"22033xx")</f>
        <v>22033xx</v>
      </c>
      <c r="D576" s="16" t="s">
        <v>1771</v>
      </c>
    </row>
    <row r="577" spans="2:4" ht="15.75" x14ac:dyDescent="0.3">
      <c r="B577" s="14" t="s">
        <v>1772</v>
      </c>
      <c r="C577" s="15" t="str">
        <f>REPLACE(B577,1,9,"22034xx")</f>
        <v>22034xx</v>
      </c>
      <c r="D577" s="16" t="s">
        <v>1773</v>
      </c>
    </row>
    <row r="578" spans="2:4" ht="15.75" x14ac:dyDescent="0.3">
      <c r="B578" s="14" t="s">
        <v>1774</v>
      </c>
      <c r="C578" s="15" t="str">
        <f>REPLACE(B578,1,9,"22035xx")</f>
        <v>22035xx</v>
      </c>
      <c r="D578" s="16" t="s">
        <v>1775</v>
      </c>
    </row>
    <row r="579" spans="2:4" ht="15.75" x14ac:dyDescent="0.3">
      <c r="B579" s="14" t="s">
        <v>1776</v>
      </c>
      <c r="C579" s="15" t="str">
        <f>REPLACE(B579,1,9,"22036xx")</f>
        <v>22036xx</v>
      </c>
      <c r="D579" s="16" t="s">
        <v>1777</v>
      </c>
    </row>
    <row r="580" spans="2:4" ht="15.75" x14ac:dyDescent="0.3">
      <c r="B580" s="14" t="s">
        <v>1778</v>
      </c>
      <c r="C580" s="15" t="str">
        <f>REPLACE(B580,1,9,"22037xx")</f>
        <v>22037xx</v>
      </c>
      <c r="D580" s="16" t="s">
        <v>1779</v>
      </c>
    </row>
    <row r="581" spans="2:4" ht="15.75" x14ac:dyDescent="0.3">
      <c r="B581" s="14" t="s">
        <v>1780</v>
      </c>
      <c r="C581" s="15" t="str">
        <f>REPLACE(B581,1,9,"22038xx")</f>
        <v>22038xx</v>
      </c>
      <c r="D581" s="16" t="s">
        <v>1781</v>
      </c>
    </row>
    <row r="582" spans="2:4" ht="15.75" x14ac:dyDescent="0.3">
      <c r="B582" s="14" t="s">
        <v>1782</v>
      </c>
      <c r="C582" s="15" t="str">
        <f>REPLACE(B582,1,9,"22039xx")</f>
        <v>22039xx</v>
      </c>
      <c r="D582" s="16" t="s">
        <v>1783</v>
      </c>
    </row>
    <row r="583" spans="2:4" ht="15.75" x14ac:dyDescent="0.3">
      <c r="B583" s="14" t="s">
        <v>1784</v>
      </c>
      <c r="C583" s="15" t="str">
        <f>REPLACE(B583,1,9,"22041xx")</f>
        <v>22041xx</v>
      </c>
      <c r="D583" s="16" t="s">
        <v>1785</v>
      </c>
    </row>
    <row r="584" spans="2:4" ht="15.75" x14ac:dyDescent="0.3">
      <c r="B584" s="14" t="s">
        <v>1786</v>
      </c>
      <c r="C584" s="15" t="str">
        <f>REPLACE(B584,1,9,"22051xx")</f>
        <v>22051xx</v>
      </c>
      <c r="D584" s="16" t="s">
        <v>1769</v>
      </c>
    </row>
    <row r="585" spans="2:4" ht="15.75" x14ac:dyDescent="0.3">
      <c r="B585" s="14" t="s">
        <v>1787</v>
      </c>
      <c r="C585" s="15" t="str">
        <f>REPLACE(B585,1,9,"22061xx")</f>
        <v>22061xx</v>
      </c>
      <c r="D585" s="16" t="s">
        <v>1769</v>
      </c>
    </row>
    <row r="586" spans="2:4" ht="15.75" x14ac:dyDescent="0.3">
      <c r="B586" s="14" t="s">
        <v>1788</v>
      </c>
      <c r="C586" s="15" t="str">
        <f>REPLACE(B586,1,9,"22063xx")</f>
        <v>22063xx</v>
      </c>
      <c r="D586" s="16" t="s">
        <v>1789</v>
      </c>
    </row>
    <row r="587" spans="2:4" ht="15.75" x14ac:dyDescent="0.3">
      <c r="B587" s="14" t="s">
        <v>1790</v>
      </c>
      <c r="C587" s="15" t="str">
        <f>REPLACE(B587,1,9,"22062xx")</f>
        <v>22062xx</v>
      </c>
      <c r="D587" s="16" t="s">
        <v>1791</v>
      </c>
    </row>
    <row r="588" spans="2:4" ht="15.75" x14ac:dyDescent="0.3">
      <c r="B588" s="14" t="s">
        <v>1792</v>
      </c>
      <c r="C588" s="15" t="str">
        <f>REPLACE(B588,1,9,"22064xx")</f>
        <v>22064xx</v>
      </c>
      <c r="D588" s="16" t="s">
        <v>1793</v>
      </c>
    </row>
    <row r="589" spans="2:4" ht="15.75" x14ac:dyDescent="0.3">
      <c r="B589" s="14" t="s">
        <v>1794</v>
      </c>
      <c r="C589" s="15" t="str">
        <f>REPLACE(B589,1,9,"22065xx")</f>
        <v>22065xx</v>
      </c>
      <c r="D589" s="16" t="s">
        <v>1795</v>
      </c>
    </row>
    <row r="590" spans="2:4" ht="15.75" x14ac:dyDescent="0.3">
      <c r="B590" s="14" t="s">
        <v>1796</v>
      </c>
      <c r="C590" s="15" t="str">
        <f>REPLACE(B590,1,9,"22066xx")</f>
        <v>22066xx</v>
      </c>
      <c r="D590" s="16" t="s">
        <v>1797</v>
      </c>
    </row>
    <row r="591" spans="2:4" ht="15.75" x14ac:dyDescent="0.3">
      <c r="B591" s="14" t="s">
        <v>1798</v>
      </c>
      <c r="C591" s="15" t="str">
        <f>REPLACE(B591,1,9,"22071xx")</f>
        <v>22071xx</v>
      </c>
      <c r="D591" s="16" t="s">
        <v>1771</v>
      </c>
    </row>
    <row r="592" spans="2:4" ht="15.75" x14ac:dyDescent="0.3">
      <c r="B592" s="14" t="s">
        <v>1799</v>
      </c>
      <c r="C592" s="15" t="str">
        <f>REPLACE(B592,1,9,"22072xx")</f>
        <v>22072xx</v>
      </c>
      <c r="D592" s="16" t="s">
        <v>1773</v>
      </c>
    </row>
    <row r="593" spans="2:4" ht="15.75" x14ac:dyDescent="0.3">
      <c r="B593" s="14" t="s">
        <v>1800</v>
      </c>
      <c r="C593" s="15" t="str">
        <f>REPLACE(B593,1,9,"22073xx")</f>
        <v>22073xx</v>
      </c>
      <c r="D593" s="16" t="s">
        <v>1775</v>
      </c>
    </row>
    <row r="594" spans="2:4" ht="15.75" x14ac:dyDescent="0.3">
      <c r="B594" s="14" t="s">
        <v>1801</v>
      </c>
      <c r="C594" s="15" t="str">
        <f>REPLACE(B594,1,9,"22074xx")</f>
        <v>22074xx</v>
      </c>
      <c r="D594" s="16" t="s">
        <v>1759</v>
      </c>
    </row>
    <row r="595" spans="2:4" ht="15.75" x14ac:dyDescent="0.3">
      <c r="B595" s="14" t="s">
        <v>1802</v>
      </c>
      <c r="C595" s="15" t="str">
        <f>REPLACE(B595,1,9,"22075xx")</f>
        <v>22075xx</v>
      </c>
      <c r="D595" s="16" t="s">
        <v>1793</v>
      </c>
    </row>
    <row r="596" spans="2:4" ht="15.75" x14ac:dyDescent="0.3">
      <c r="B596" s="14" t="s">
        <v>1803</v>
      </c>
      <c r="C596" s="15" t="str">
        <f>REPLACE(B596,1,9,"22076xx")</f>
        <v>22076xx</v>
      </c>
      <c r="D596" s="16" t="s">
        <v>1777</v>
      </c>
    </row>
    <row r="597" spans="2:4" ht="15.75" x14ac:dyDescent="0.3">
      <c r="B597" s="14" t="s">
        <v>1804</v>
      </c>
      <c r="C597" s="15" t="str">
        <f>REPLACE(B597,1,9,"22077xx")</f>
        <v>22077xx</v>
      </c>
      <c r="D597" s="16" t="s">
        <v>1797</v>
      </c>
    </row>
    <row r="598" spans="2:4" ht="15.75" x14ac:dyDescent="0.3">
      <c r="B598" s="14" t="s">
        <v>1805</v>
      </c>
      <c r="C598" s="15" t="str">
        <f>REPLACE(B598,1,9,"22078xx")</f>
        <v>22078xx</v>
      </c>
      <c r="D598" s="16" t="s">
        <v>1779</v>
      </c>
    </row>
    <row r="599" spans="2:4" ht="15.75" x14ac:dyDescent="0.3">
      <c r="B599" s="14" t="s">
        <v>1806</v>
      </c>
      <c r="C599" s="15" t="str">
        <f>REPLACE(B599,1,9,"22079xx")</f>
        <v>22079xx</v>
      </c>
      <c r="D599" s="16" t="s">
        <v>1781</v>
      </c>
    </row>
    <row r="600" spans="2:4" ht="15.75" x14ac:dyDescent="0.3">
      <c r="B600" s="14" t="s">
        <v>1807</v>
      </c>
      <c r="C600" s="15" t="str">
        <f>REPLACE(B600,1,9,"22081xx")</f>
        <v>22081xx</v>
      </c>
      <c r="D600" s="16" t="s">
        <v>1783</v>
      </c>
    </row>
    <row r="601" spans="2:4" ht="15.75" x14ac:dyDescent="0.3">
      <c r="B601" s="14" t="s">
        <v>1808</v>
      </c>
      <c r="C601" s="15" t="str">
        <f>REPLACE(B601,1,9,"22082xx")</f>
        <v>22082xx</v>
      </c>
      <c r="D601" s="16" t="s">
        <v>1785</v>
      </c>
    </row>
    <row r="602" spans="2:4" ht="15.75" x14ac:dyDescent="0.3">
      <c r="B602" s="14" t="s">
        <v>1809</v>
      </c>
      <c r="C602" s="15" t="str">
        <f>REPLACE(B602,1,9,"22091xx")</f>
        <v>22091xx</v>
      </c>
      <c r="D602" s="16" t="s">
        <v>379</v>
      </c>
    </row>
    <row r="603" spans="2:4" ht="15.75" x14ac:dyDescent="0.3">
      <c r="B603" s="14" t="s">
        <v>1810</v>
      </c>
      <c r="C603" s="15" t="str">
        <f>REPLACE(B603,1,9,"40011xx")</f>
        <v>40011xx</v>
      </c>
      <c r="D603" s="16" t="s">
        <v>381</v>
      </c>
    </row>
    <row r="604" spans="2:4" ht="15.75" x14ac:dyDescent="0.3">
      <c r="B604" s="14" t="s">
        <v>1811</v>
      </c>
      <c r="C604" s="15" t="str">
        <f>REPLACE(B604,1,9,"40201xx")</f>
        <v>40201xx</v>
      </c>
      <c r="D604" s="16" t="s">
        <v>383</v>
      </c>
    </row>
    <row r="605" spans="2:4" ht="15.75" x14ac:dyDescent="0.3">
      <c r="B605" s="14" t="s">
        <v>1812</v>
      </c>
      <c r="C605" s="15" t="str">
        <f>REPLACE(B605,1,9,"40211xx")</f>
        <v>40211xx</v>
      </c>
      <c r="D605" s="16" t="s">
        <v>385</v>
      </c>
    </row>
    <row r="606" spans="2:4" ht="15.75" x14ac:dyDescent="0.3">
      <c r="B606" s="14" t="s">
        <v>1813</v>
      </c>
      <c r="C606" s="15" t="str">
        <f>REPLACE(B606,1,9,"40221xx")</f>
        <v>40221xx</v>
      </c>
      <c r="D606" s="16" t="s">
        <v>387</v>
      </c>
    </row>
    <row r="607" spans="2:4" ht="15.75" x14ac:dyDescent="0.3">
      <c r="B607" s="14" t="s">
        <v>1814</v>
      </c>
      <c r="C607" s="15" t="str">
        <f>REPLACE(B607,1,9,"40231xx")</f>
        <v>40231xx</v>
      </c>
      <c r="D607" s="16" t="s">
        <v>389</v>
      </c>
    </row>
    <row r="608" spans="2:4" ht="15.75" x14ac:dyDescent="0.3">
      <c r="B608" s="14" t="s">
        <v>1815</v>
      </c>
      <c r="C608" s="15" t="str">
        <f>REPLACE(B608,1,9,"40241xx")</f>
        <v>40241xx</v>
      </c>
      <c r="D608" s="16" t="s">
        <v>391</v>
      </c>
    </row>
    <row r="609" spans="2:4" ht="15.75" x14ac:dyDescent="0.3">
      <c r="B609" s="14" t="s">
        <v>1816</v>
      </c>
      <c r="C609" s="15" t="str">
        <f>REPLACE(B609,1,9,"40251xx")</f>
        <v>40251xx</v>
      </c>
      <c r="D609" s="16" t="s">
        <v>393</v>
      </c>
    </row>
    <row r="610" spans="2:4" ht="15.75" x14ac:dyDescent="0.3">
      <c r="B610" s="14" t="s">
        <v>1817</v>
      </c>
      <c r="C610" s="15" t="str">
        <f>REPLACE(B610,1,9,"40261xx")</f>
        <v>40261xx</v>
      </c>
      <c r="D610" s="16" t="s">
        <v>395</v>
      </c>
    </row>
    <row r="611" spans="2:4" ht="15.75" x14ac:dyDescent="0.3">
      <c r="B611" s="14" t="s">
        <v>1818</v>
      </c>
      <c r="C611" s="15" t="str">
        <f>REPLACE(B611,1,9,"40271xx")</f>
        <v>40271xx</v>
      </c>
      <c r="D611" s="16" t="s">
        <v>397</v>
      </c>
    </row>
    <row r="612" spans="2:4" ht="15.75" x14ac:dyDescent="0.3">
      <c r="B612" s="14" t="s">
        <v>1819</v>
      </c>
      <c r="C612" s="15" t="str">
        <f>REPLACE(B612,1,9,"40281xx")</f>
        <v>40281xx</v>
      </c>
      <c r="D612" s="16" t="s">
        <v>399</v>
      </c>
    </row>
    <row r="613" spans="2:4" ht="15.75" x14ac:dyDescent="0.3">
      <c r="B613" s="14" t="s">
        <v>1820</v>
      </c>
      <c r="C613" s="15" t="str">
        <f>REPLACE(B613,1,9,"40291xx")</f>
        <v>40291xx</v>
      </c>
      <c r="D613" s="16" t="s">
        <v>401</v>
      </c>
    </row>
    <row r="614" spans="2:4" ht="15.75" x14ac:dyDescent="0.3">
      <c r="B614" s="14" t="s">
        <v>1821</v>
      </c>
      <c r="C614" s="15" t="str">
        <f>REPLACE(B614,1,9,"40301xx")</f>
        <v>40301xx</v>
      </c>
      <c r="D614" s="16" t="s">
        <v>403</v>
      </c>
    </row>
    <row r="615" spans="2:4" ht="15.75" x14ac:dyDescent="0.3">
      <c r="B615" s="14" t="s">
        <v>1822</v>
      </c>
      <c r="C615" s="15" t="str">
        <f>REPLACE(B615,1,9,"40311xx")</f>
        <v>40311xx</v>
      </c>
      <c r="D615" s="16" t="s">
        <v>405</v>
      </c>
    </row>
    <row r="616" spans="2:4" ht="15.75" x14ac:dyDescent="0.3">
      <c r="B616" s="14" t="s">
        <v>1823</v>
      </c>
      <c r="C616" s="15" t="str">
        <f>REPLACE(B616,1,9,"40321xx")</f>
        <v>40321xx</v>
      </c>
      <c r="D616" s="16" t="s">
        <v>407</v>
      </c>
    </row>
    <row r="617" spans="2:4" ht="15.75" x14ac:dyDescent="0.3">
      <c r="B617" s="14" t="s">
        <v>1824</v>
      </c>
      <c r="C617" s="15" t="str">
        <f>REPLACE(B617,1,9,"40401xx")</f>
        <v>40401xx</v>
      </c>
      <c r="D617" s="16" t="s">
        <v>409</v>
      </c>
    </row>
    <row r="618" spans="2:4" ht="15.75" x14ac:dyDescent="0.3">
      <c r="B618" s="14" t="s">
        <v>1825</v>
      </c>
      <c r="C618" s="15" t="str">
        <f>REPLACE(B618,1,9,"40411xx")</f>
        <v>40411xx</v>
      </c>
      <c r="D618" s="16" t="s">
        <v>411</v>
      </c>
    </row>
    <row r="619" spans="2:4" ht="15.75" x14ac:dyDescent="0.3">
      <c r="B619" s="14" t="s">
        <v>1826</v>
      </c>
      <c r="C619" s="15" t="str">
        <f>REPLACE(B619,1,9,"40421xx")</f>
        <v>40421xx</v>
      </c>
      <c r="D619" s="16" t="s">
        <v>413</v>
      </c>
    </row>
    <row r="620" spans="2:4" ht="15.75" x14ac:dyDescent="0.3">
      <c r="B620" s="14" t="s">
        <v>1827</v>
      </c>
      <c r="C620" s="15" t="str">
        <f>REPLACE(B620,1,9,"40431xx")</f>
        <v>40431xx</v>
      </c>
      <c r="D620" s="16" t="s">
        <v>415</v>
      </c>
    </row>
    <row r="621" spans="2:4" ht="15.75" x14ac:dyDescent="0.3">
      <c r="B621" s="14" t="s">
        <v>1828</v>
      </c>
      <c r="C621" s="15" t="str">
        <f>REPLACE(B621,1,9,"40441xx")</f>
        <v>40441xx</v>
      </c>
      <c r="D621" s="16" t="s">
        <v>417</v>
      </c>
    </row>
    <row r="622" spans="2:4" ht="15.75" x14ac:dyDescent="0.3">
      <c r="B622" s="14" t="s">
        <v>1829</v>
      </c>
      <c r="C622" s="15" t="str">
        <f>REPLACE(B622,1,9,"40451xx")</f>
        <v>40451xx</v>
      </c>
      <c r="D622" s="16" t="s">
        <v>419</v>
      </c>
    </row>
    <row r="623" spans="2:4" ht="15.75" x14ac:dyDescent="0.3">
      <c r="B623" s="14" t="s">
        <v>1830</v>
      </c>
      <c r="C623" s="15" t="str">
        <f>REPLACE(B623,1,9,"40461xx")</f>
        <v>40461xx</v>
      </c>
      <c r="D623" s="16" t="s">
        <v>421</v>
      </c>
    </row>
    <row r="624" spans="2:4" ht="15.75" x14ac:dyDescent="0.3">
      <c r="B624" s="14" t="s">
        <v>1831</v>
      </c>
      <c r="C624" s="15" t="str">
        <f>REPLACE(B624,1,9,"40471xx")</f>
        <v>40471xx</v>
      </c>
      <c r="D624" s="16" t="s">
        <v>423</v>
      </c>
    </row>
    <row r="625" spans="2:4" ht="15.75" x14ac:dyDescent="0.3">
      <c r="B625" s="14" t="s">
        <v>1832</v>
      </c>
      <c r="C625" s="15" t="str">
        <f>REPLACE(B625,1,9,"40481xx")</f>
        <v>40481xx</v>
      </c>
      <c r="D625" s="16" t="s">
        <v>425</v>
      </c>
    </row>
    <row r="626" spans="2:4" ht="15.75" x14ac:dyDescent="0.3">
      <c r="B626" s="14" t="s">
        <v>1833</v>
      </c>
      <c r="C626" s="15" t="str">
        <f>REPLACE(B626,1,9,"40101xx")</f>
        <v>40101xx</v>
      </c>
      <c r="D626" s="16" t="s">
        <v>427</v>
      </c>
    </row>
    <row r="627" spans="2:4" ht="15.75" x14ac:dyDescent="0.3">
      <c r="B627" s="14" t="s">
        <v>1834</v>
      </c>
      <c r="C627" s="15" t="str">
        <f>REPLACE(B627,1,9,"40111xx")</f>
        <v>40111xx</v>
      </c>
      <c r="D627" s="16" t="s">
        <v>429</v>
      </c>
    </row>
    <row r="628" spans="2:4" ht="15.75" x14ac:dyDescent="0.3">
      <c r="B628" s="14" t="s">
        <v>1835</v>
      </c>
      <c r="C628" s="15" t="str">
        <f>REPLACE(B628,1,9,"40121xx")</f>
        <v>40121xx</v>
      </c>
      <c r="D628" s="16" t="s">
        <v>431</v>
      </c>
    </row>
    <row r="629" spans="2:4" ht="15.75" x14ac:dyDescent="0.3">
      <c r="B629" s="14" t="s">
        <v>1836</v>
      </c>
      <c r="C629" s="15" t="str">
        <f>REPLACE(B629,1,9,"40131xx")</f>
        <v>40131xx</v>
      </c>
      <c r="D629" s="16" t="s">
        <v>433</v>
      </c>
    </row>
    <row r="630" spans="2:4" ht="15.75" x14ac:dyDescent="0.3">
      <c r="B630" s="14" t="s">
        <v>1837</v>
      </c>
      <c r="C630" s="15" t="str">
        <f>REPLACE(B630,1,9,"40141xx")</f>
        <v>40141xx</v>
      </c>
      <c r="D630" s="16" t="s">
        <v>435</v>
      </c>
    </row>
    <row r="631" spans="2:4" ht="15.75" x14ac:dyDescent="0.3">
      <c r="B631" s="14" t="s">
        <v>1838</v>
      </c>
      <c r="C631" s="15" t="str">
        <f>REPLACE(B631,1,9,"40021xx")</f>
        <v>40021xx</v>
      </c>
      <c r="D631" s="16" t="s">
        <v>23</v>
      </c>
    </row>
    <row r="632" spans="2:4" ht="15.75" x14ac:dyDescent="0.3">
      <c r="B632" s="14" t="s">
        <v>1839</v>
      </c>
      <c r="C632" s="15" t="str">
        <f>REPLACE(B632,1,9,"41301xx")</f>
        <v>41301xx</v>
      </c>
      <c r="D632" s="16" t="s">
        <v>438</v>
      </c>
    </row>
    <row r="633" spans="2:4" ht="15.75" x14ac:dyDescent="0.3">
      <c r="B633" s="14" t="s">
        <v>1840</v>
      </c>
      <c r="C633" s="15" t="str">
        <f>REPLACE(B633,1,9,"41311xx")</f>
        <v>41311xx</v>
      </c>
      <c r="D633" s="16" t="s">
        <v>440</v>
      </c>
    </row>
    <row r="634" spans="2:4" ht="15.75" x14ac:dyDescent="0.3">
      <c r="B634" s="14" t="s">
        <v>1841</v>
      </c>
      <c r="C634" s="15" t="str">
        <f>REPLACE(B634,1,9,"41321xx")</f>
        <v>41321xx</v>
      </c>
      <c r="D634" s="16" t="s">
        <v>442</v>
      </c>
    </row>
    <row r="635" spans="2:4" ht="15.75" x14ac:dyDescent="0.3">
      <c r="B635" s="14" t="s">
        <v>1842</v>
      </c>
      <c r="C635" s="15" t="str">
        <f>REPLACE(B635,1,9,"41331xx")</f>
        <v>41331xx</v>
      </c>
      <c r="D635" s="16" t="s">
        <v>444</v>
      </c>
    </row>
    <row r="636" spans="2:4" ht="15.75" x14ac:dyDescent="0.3">
      <c r="B636" s="14" t="s">
        <v>1843</v>
      </c>
      <c r="C636" s="15" t="str">
        <f>REPLACE(B636,1,9,"41341xx")</f>
        <v>41341xx</v>
      </c>
      <c r="D636" s="16" t="s">
        <v>446</v>
      </c>
    </row>
    <row r="637" spans="2:4" ht="15.75" x14ac:dyDescent="0.3">
      <c r="B637" s="14" t="s">
        <v>1844</v>
      </c>
      <c r="C637" s="15" t="str">
        <f>REPLACE(B637,1,9,"41351xx")</f>
        <v>41351xx</v>
      </c>
      <c r="D637" s="16" t="s">
        <v>448</v>
      </c>
    </row>
    <row r="638" spans="2:4" ht="15.75" x14ac:dyDescent="0.3">
      <c r="B638" s="14" t="s">
        <v>1845</v>
      </c>
      <c r="C638" s="15" t="str">
        <f>REPLACE(B638,1,9,"41361xx")</f>
        <v>41361xx</v>
      </c>
      <c r="D638" s="16" t="s">
        <v>450</v>
      </c>
    </row>
    <row r="639" spans="2:4" ht="15.75" x14ac:dyDescent="0.3">
      <c r="B639" s="14" t="s">
        <v>1846</v>
      </c>
      <c r="C639" s="15" t="str">
        <f>REPLACE(B639,1,9,"41371xx")</f>
        <v>41371xx</v>
      </c>
      <c r="D639" s="16" t="s">
        <v>452</v>
      </c>
    </row>
    <row r="640" spans="2:4" ht="15.75" x14ac:dyDescent="0.3">
      <c r="B640" s="14" t="s">
        <v>1847</v>
      </c>
      <c r="C640" s="15" t="str">
        <f>REPLACE(B640,1,9,"41381xx")</f>
        <v>41381xx</v>
      </c>
      <c r="D640" s="16" t="s">
        <v>454</v>
      </c>
    </row>
    <row r="641" spans="2:4" ht="15.75" x14ac:dyDescent="0.3">
      <c r="B641" s="14" t="s">
        <v>1848</v>
      </c>
      <c r="C641" s="15" t="str">
        <f>REPLACE(B641,1,9,"41391xx")</f>
        <v>41391xx</v>
      </c>
      <c r="D641" s="16" t="s">
        <v>456</v>
      </c>
    </row>
    <row r="642" spans="2:4" ht="15.75" x14ac:dyDescent="0.3">
      <c r="B642" s="14" t="s">
        <v>1849</v>
      </c>
      <c r="C642" s="15" t="str">
        <f>REPLACE(B642,1,9,"41401xx")</f>
        <v>41401xx</v>
      </c>
      <c r="D642" s="16" t="s">
        <v>458</v>
      </c>
    </row>
    <row r="643" spans="2:4" ht="15.75" x14ac:dyDescent="0.3">
      <c r="B643" s="14" t="s">
        <v>1850</v>
      </c>
      <c r="C643" s="15" t="str">
        <f>REPLACE(B643,1,9,"41411xx")</f>
        <v>41411xx</v>
      </c>
      <c r="D643" s="16" t="s">
        <v>460</v>
      </c>
    </row>
    <row r="644" spans="2:4" ht="15.75" x14ac:dyDescent="0.3">
      <c r="B644" s="14" t="s">
        <v>1851</v>
      </c>
      <c r="C644" s="15" t="str">
        <f>REPLACE(B644,1,9,"41421xx")</f>
        <v>41421xx</v>
      </c>
      <c r="D644" s="16" t="s">
        <v>462</v>
      </c>
    </row>
    <row r="645" spans="2:4" ht="15.75" x14ac:dyDescent="0.3">
      <c r="B645" s="14" t="s">
        <v>1852</v>
      </c>
      <c r="C645" s="15" t="str">
        <f>REPLACE(B645,1,9,"41431xx")</f>
        <v>41431xx</v>
      </c>
      <c r="D645" s="16" t="s">
        <v>464</v>
      </c>
    </row>
    <row r="646" spans="2:4" ht="15.75" x14ac:dyDescent="0.3">
      <c r="B646" s="14" t="s">
        <v>1853</v>
      </c>
      <c r="C646" s="15" t="str">
        <f>REPLACE(B646,1,9,"41011xx")</f>
        <v>41011xx</v>
      </c>
      <c r="D646" s="16" t="s">
        <v>24</v>
      </c>
    </row>
    <row r="647" spans="2:4" ht="15.75" x14ac:dyDescent="0.3">
      <c r="B647" s="14" t="s">
        <v>1854</v>
      </c>
      <c r="C647" s="15" t="str">
        <f>REPLACE(B647,1,9,"41021xx")</f>
        <v>41021xx</v>
      </c>
      <c r="D647" s="16" t="s">
        <v>467</v>
      </c>
    </row>
    <row r="648" spans="2:4" ht="15.75" x14ac:dyDescent="0.3">
      <c r="B648" s="14" t="s">
        <v>1855</v>
      </c>
      <c r="C648" s="15" t="str">
        <f>REPLACE(B648,1,9,"41031xx")</f>
        <v>41031xx</v>
      </c>
      <c r="D648" s="16" t="s">
        <v>469</v>
      </c>
    </row>
    <row r="649" spans="2:4" ht="15.75" x14ac:dyDescent="0.3">
      <c r="B649" s="14" t="s">
        <v>1856</v>
      </c>
      <c r="C649" s="15" t="str">
        <f>REPLACE(B649,1,9,"41041xx")</f>
        <v>41041xx</v>
      </c>
      <c r="D649" s="16" t="s">
        <v>471</v>
      </c>
    </row>
    <row r="650" spans="2:4" ht="15.75" x14ac:dyDescent="0.3">
      <c r="B650" s="14" t="s">
        <v>1857</v>
      </c>
      <c r="C650" s="15" t="str">
        <f>REPLACE(B650,1,9,"41051xx")</f>
        <v>41051xx</v>
      </c>
      <c r="D650" s="16" t="s">
        <v>473</v>
      </c>
    </row>
    <row r="651" spans="2:4" ht="15.75" x14ac:dyDescent="0.3">
      <c r="B651" s="14" t="s">
        <v>1858</v>
      </c>
      <c r="C651" s="15" t="str">
        <f>REPLACE(B651,1,9,"41061xx")</f>
        <v>41061xx</v>
      </c>
      <c r="D651" s="16" t="s">
        <v>475</v>
      </c>
    </row>
    <row r="652" spans="2:4" ht="15.75" x14ac:dyDescent="0.3">
      <c r="B652" s="14" t="s">
        <v>1859</v>
      </c>
      <c r="C652" s="15" t="str">
        <f>REPLACE(B652,1,9,"41071xx")</f>
        <v>41071xx</v>
      </c>
      <c r="D652" s="16" t="s">
        <v>477</v>
      </c>
    </row>
    <row r="653" spans="2:4" ht="15.75" x14ac:dyDescent="0.3">
      <c r="B653" s="14" t="s">
        <v>1860</v>
      </c>
      <c r="C653" s="15" t="str">
        <f>REPLACE(B653,1,9,"41081xx")</f>
        <v>41081xx</v>
      </c>
      <c r="D653" s="16" t="s">
        <v>479</v>
      </c>
    </row>
    <row r="654" spans="2:4" ht="15.75" x14ac:dyDescent="0.3">
      <c r="B654" s="14" t="s">
        <v>1861</v>
      </c>
      <c r="C654" s="15" t="str">
        <f>REPLACE(B654,1,9,"41091xx")</f>
        <v>41091xx</v>
      </c>
      <c r="D654" s="16" t="s">
        <v>481</v>
      </c>
    </row>
    <row r="655" spans="2:4" ht="15.75" x14ac:dyDescent="0.3">
      <c r="B655" s="14" t="s">
        <v>1862</v>
      </c>
      <c r="C655" s="15" t="str">
        <f>REPLACE(B655,1,9,"41101xx")</f>
        <v>41101xx</v>
      </c>
      <c r="D655" s="16" t="s">
        <v>483</v>
      </c>
    </row>
    <row r="656" spans="2:4" ht="15.75" x14ac:dyDescent="0.3">
      <c r="B656" s="14" t="s">
        <v>1863</v>
      </c>
      <c r="C656" s="15" t="str">
        <f>REPLACE(B656,1,9,"41111xx")</f>
        <v>41111xx</v>
      </c>
      <c r="D656" s="16" t="s">
        <v>485</v>
      </c>
    </row>
    <row r="657" spans="2:4" ht="15.75" x14ac:dyDescent="0.3">
      <c r="B657" s="14" t="s">
        <v>1864</v>
      </c>
      <c r="C657" s="15" t="str">
        <f>REPLACE(B657,1,9,"41121xx")</f>
        <v>41121xx</v>
      </c>
      <c r="D657" s="16" t="s">
        <v>487</v>
      </c>
    </row>
    <row r="658" spans="2:4" ht="15.75" x14ac:dyDescent="0.3">
      <c r="B658" s="14" t="s">
        <v>1865</v>
      </c>
      <c r="C658" s="15" t="str">
        <f>REPLACE(B658,1,9,"41131xx")</f>
        <v>41131xx</v>
      </c>
      <c r="D658" s="16" t="s">
        <v>489</v>
      </c>
    </row>
    <row r="659" spans="2:4" ht="15.75" x14ac:dyDescent="0.3">
      <c r="B659" s="14" t="s">
        <v>1866</v>
      </c>
      <c r="C659" s="15" t="str">
        <f>REPLACE(B659,1,9,"41141xx")</f>
        <v>41141xx</v>
      </c>
      <c r="D659" s="16" t="s">
        <v>491</v>
      </c>
    </row>
    <row r="660" spans="2:4" ht="15.75" x14ac:dyDescent="0.3">
      <c r="B660" s="14" t="s">
        <v>1867</v>
      </c>
      <c r="C660" s="15" t="str">
        <f>REPLACE(B660,1,9,"41151xx")</f>
        <v>41151xx</v>
      </c>
      <c r="D660" s="16" t="s">
        <v>493</v>
      </c>
    </row>
    <row r="661" spans="2:4" ht="15.75" x14ac:dyDescent="0.3">
      <c r="B661" s="14" t="s">
        <v>1868</v>
      </c>
      <c r="C661" s="15" t="str">
        <f>REPLACE(B661,1,9,"41161xx")</f>
        <v>41161xx</v>
      </c>
      <c r="D661" s="16" t="s">
        <v>495</v>
      </c>
    </row>
    <row r="662" spans="2:4" ht="15.75" x14ac:dyDescent="0.3">
      <c r="B662" s="14" t="s">
        <v>1869</v>
      </c>
      <c r="C662" s="15" t="str">
        <f>REPLACE(B662,1,9,"41731xx")</f>
        <v>41731xx</v>
      </c>
      <c r="D662" s="16" t="s">
        <v>497</v>
      </c>
    </row>
    <row r="663" spans="2:4" ht="15.75" x14ac:dyDescent="0.3">
      <c r="B663" s="14" t="s">
        <v>1870</v>
      </c>
      <c r="C663" s="15" t="str">
        <f>REPLACE(B663,1,9,"41741xx")</f>
        <v>41741xx</v>
      </c>
      <c r="D663" s="16" t="s">
        <v>499</v>
      </c>
    </row>
    <row r="664" spans="2:4" ht="15.75" x14ac:dyDescent="0.3">
      <c r="B664" s="14" t="s">
        <v>1871</v>
      </c>
      <c r="C664" s="15" t="str">
        <f>REPLACE(B664,1,9,"41751xx")</f>
        <v>41751xx</v>
      </c>
      <c r="D664" s="16" t="s">
        <v>501</v>
      </c>
    </row>
    <row r="665" spans="2:4" ht="15.75" x14ac:dyDescent="0.3">
      <c r="B665" s="14" t="s">
        <v>1872</v>
      </c>
      <c r="C665" s="15" t="str">
        <f>REPLACE(B665,1,9,"41761xx")</f>
        <v>41761xx</v>
      </c>
      <c r="D665" s="16" t="s">
        <v>503</v>
      </c>
    </row>
    <row r="666" spans="2:4" ht="15.75" x14ac:dyDescent="0.3">
      <c r="B666" s="14" t="s">
        <v>1873</v>
      </c>
      <c r="C666" s="15" t="str">
        <f>REPLACE(B666,1,9,"41771xx")</f>
        <v>41771xx</v>
      </c>
      <c r="D666" s="16" t="s">
        <v>505</v>
      </c>
    </row>
    <row r="667" spans="2:4" ht="15.75" x14ac:dyDescent="0.3">
      <c r="B667" s="14" t="s">
        <v>1874</v>
      </c>
      <c r="C667" s="15" t="str">
        <f>REPLACE(B667,1,9,"41781xx")</f>
        <v>41781xx</v>
      </c>
      <c r="D667" s="16" t="s">
        <v>507</v>
      </c>
    </row>
    <row r="668" spans="2:4" ht="15.75" x14ac:dyDescent="0.3">
      <c r="B668" s="14" t="s">
        <v>1875</v>
      </c>
      <c r="C668" s="15" t="str">
        <f>REPLACE(B668,1,9,"41791xx")</f>
        <v>41791xx</v>
      </c>
      <c r="D668" s="16" t="s">
        <v>509</v>
      </c>
    </row>
    <row r="669" spans="2:4" ht="15.75" x14ac:dyDescent="0.3">
      <c r="B669" s="14" t="s">
        <v>1876</v>
      </c>
      <c r="C669" s="15" t="str">
        <f>REPLACE(B669,1,9,"41801xx")</f>
        <v>41801xx</v>
      </c>
      <c r="D669" s="16" t="s">
        <v>511</v>
      </c>
    </row>
    <row r="670" spans="2:4" ht="15.75" x14ac:dyDescent="0.3">
      <c r="B670" s="14" t="s">
        <v>1877</v>
      </c>
      <c r="C670" s="15" t="str">
        <f>REPLACE(B670,1,9,"41651xx")</f>
        <v>41651xx</v>
      </c>
      <c r="D670" s="16" t="s">
        <v>513</v>
      </c>
    </row>
    <row r="671" spans="2:4" ht="15.75" x14ac:dyDescent="0.3">
      <c r="B671" s="14" t="s">
        <v>1878</v>
      </c>
      <c r="C671" s="15" t="str">
        <f>REPLACE(B671,1,9,"41661xx")</f>
        <v>41661xx</v>
      </c>
      <c r="D671" s="16" t="s">
        <v>515</v>
      </c>
    </row>
    <row r="672" spans="2:4" ht="15.75" x14ac:dyDescent="0.3">
      <c r="B672" s="14" t="s">
        <v>1879</v>
      </c>
      <c r="C672" s="15" t="str">
        <f>REPLACE(B672,1,9,"41671xx")</f>
        <v>41671xx</v>
      </c>
      <c r="D672" s="16" t="s">
        <v>517</v>
      </c>
    </row>
    <row r="673" spans="2:4" ht="15.75" x14ac:dyDescent="0.3">
      <c r="B673" s="14" t="s">
        <v>1880</v>
      </c>
      <c r="C673" s="15" t="str">
        <f>REPLACE(B673,1,9,"44021xx")</f>
        <v>44021xx</v>
      </c>
      <c r="D673" s="16" t="s">
        <v>519</v>
      </c>
    </row>
    <row r="674" spans="2:4" ht="15.75" x14ac:dyDescent="0.3">
      <c r="B674" s="14" t="s">
        <v>1881</v>
      </c>
      <c r="C674" s="15" t="str">
        <f>REPLACE(B674,1,9,"44601xx")</f>
        <v>44601xx</v>
      </c>
      <c r="D674" s="16" t="s">
        <v>521</v>
      </c>
    </row>
    <row r="675" spans="2:4" ht="15.75" x14ac:dyDescent="0.3">
      <c r="B675" s="14" t="s">
        <v>1882</v>
      </c>
      <c r="C675" s="15" t="str">
        <f>REPLACE(B675,1,9,"44011xx")</f>
        <v>44011xx</v>
      </c>
      <c r="D675" s="16" t="s">
        <v>523</v>
      </c>
    </row>
    <row r="676" spans="2:4" ht="15.75" x14ac:dyDescent="0.3">
      <c r="B676" s="14" t="s">
        <v>1883</v>
      </c>
      <c r="C676" s="15" t="str">
        <f>REPLACE(B676,1,9,"44101xx")</f>
        <v>44101xx</v>
      </c>
      <c r="D676" s="16" t="s">
        <v>1884</v>
      </c>
    </row>
    <row r="677" spans="2:4" ht="15.75" x14ac:dyDescent="0.3">
      <c r="B677" s="14" t="s">
        <v>1885</v>
      </c>
      <c r="C677" s="15" t="str">
        <f>REPLACE(B677,1,9,"44102xx")</f>
        <v>44102xx</v>
      </c>
      <c r="D677" s="16" t="s">
        <v>1886</v>
      </c>
    </row>
    <row r="678" spans="2:4" ht="15.75" x14ac:dyDescent="0.3">
      <c r="B678" s="14" t="s">
        <v>1887</v>
      </c>
      <c r="C678" s="15" t="str">
        <f>REPLACE(B678,1,9,"44103xx")</f>
        <v>44103xx</v>
      </c>
      <c r="D678" s="16" t="s">
        <v>1888</v>
      </c>
    </row>
    <row r="679" spans="2:4" ht="15.75" x14ac:dyDescent="0.3">
      <c r="B679" s="14" t="s">
        <v>1889</v>
      </c>
      <c r="C679" s="15" t="str">
        <f>REPLACE(B679,1,9,"44104xx")</f>
        <v>44104xx</v>
      </c>
      <c r="D679" s="16" t="s">
        <v>1890</v>
      </c>
    </row>
    <row r="680" spans="2:4" ht="15.75" x14ac:dyDescent="0.3">
      <c r="B680" s="14" t="s">
        <v>1891</v>
      </c>
      <c r="C680" s="15" t="str">
        <f>REPLACE(B680,1,9,"45021xx")</f>
        <v>45021xx</v>
      </c>
      <c r="D680" s="16" t="s">
        <v>527</v>
      </c>
    </row>
    <row r="681" spans="2:4" ht="15.75" x14ac:dyDescent="0.3">
      <c r="B681" s="14" t="s">
        <v>1892</v>
      </c>
      <c r="C681" s="15" t="str">
        <f>REPLACE(B681,1,9,"45603xx")</f>
        <v>45603xx</v>
      </c>
      <c r="D681" s="16" t="s">
        <v>1893</v>
      </c>
    </row>
    <row r="682" spans="2:4" ht="15.75" x14ac:dyDescent="0.3">
      <c r="B682" s="14" t="s">
        <v>1894</v>
      </c>
      <c r="C682" s="15" t="str">
        <f>REPLACE(B682,1,9,"45604xx")</f>
        <v>45604xx</v>
      </c>
      <c r="D682" s="16" t="s">
        <v>1895</v>
      </c>
    </row>
    <row r="683" spans="2:4" ht="15.75" x14ac:dyDescent="0.3">
      <c r="B683" s="14" t="s">
        <v>1896</v>
      </c>
      <c r="C683" s="15" t="str">
        <f>REPLACE(B683,1,9,"45602xx")</f>
        <v>45602xx</v>
      </c>
      <c r="D683" s="16" t="s">
        <v>1897</v>
      </c>
    </row>
    <row r="684" spans="2:4" ht="15.75" x14ac:dyDescent="0.3">
      <c r="B684" s="14" t="s">
        <v>1898</v>
      </c>
      <c r="C684" s="15" t="str">
        <f>REPLACE(B684,1,9,"45605xx")</f>
        <v>45605xx</v>
      </c>
      <c r="D684" s="16" t="s">
        <v>1899</v>
      </c>
    </row>
    <row r="685" spans="2:4" ht="15.75" x14ac:dyDescent="0.3">
      <c r="B685" s="14" t="s">
        <v>1900</v>
      </c>
      <c r="C685" s="15" t="str">
        <f>REPLACE(B685,1,9,"45611xx")</f>
        <v>45611xx</v>
      </c>
      <c r="D685" s="16" t="s">
        <v>531</v>
      </c>
    </row>
    <row r="686" spans="2:4" ht="15.75" x14ac:dyDescent="0.3">
      <c r="B686" s="14" t="s">
        <v>1901</v>
      </c>
      <c r="C686" s="15" t="str">
        <f>REPLACE(B686,1,9,"45621xx")</f>
        <v>45621xx</v>
      </c>
      <c r="D686" s="16" t="s">
        <v>1902</v>
      </c>
    </row>
    <row r="687" spans="2:4" ht="15.75" x14ac:dyDescent="0.3">
      <c r="B687" s="14" t="s">
        <v>1903</v>
      </c>
      <c r="C687" s="15" t="str">
        <f>REPLACE(B687,1,9,"45622xx")</f>
        <v>45622xx</v>
      </c>
      <c r="D687" s="16" t="s">
        <v>1904</v>
      </c>
    </row>
    <row r="688" spans="2:4" ht="15.75" x14ac:dyDescent="0.3">
      <c r="B688" s="14" t="s">
        <v>1905</v>
      </c>
      <c r="C688" s="15" t="str">
        <f>REPLACE(B688,1,9,"45623xx")</f>
        <v>45623xx</v>
      </c>
      <c r="D688" s="16" t="s">
        <v>1906</v>
      </c>
    </row>
    <row r="689" spans="2:4" ht="15.75" x14ac:dyDescent="0.3">
      <c r="B689" s="14" t="s">
        <v>1907</v>
      </c>
      <c r="C689" s="15" t="str">
        <f>REPLACE(B689,1,9,"45624xx")</f>
        <v>45624xx</v>
      </c>
      <c r="D689" s="16" t="s">
        <v>1899</v>
      </c>
    </row>
    <row r="690" spans="2:4" ht="15.75" x14ac:dyDescent="0.3">
      <c r="B690" s="14" t="s">
        <v>1908</v>
      </c>
      <c r="C690" s="15" t="str">
        <f>REPLACE(B690,1,9,"45631xx")</f>
        <v>45631xx</v>
      </c>
      <c r="D690" s="16" t="s">
        <v>535</v>
      </c>
    </row>
    <row r="691" spans="2:4" ht="15.75" x14ac:dyDescent="0.3">
      <c r="B691" s="14" t="s">
        <v>1909</v>
      </c>
      <c r="C691" s="15" t="str">
        <f>REPLACE(B691,1,9,"45642xx")</f>
        <v>45642xx</v>
      </c>
      <c r="D691" s="16" t="s">
        <v>537</v>
      </c>
    </row>
    <row r="692" spans="2:4" ht="15.75" x14ac:dyDescent="0.3">
      <c r="B692" s="14" t="s">
        <v>1910</v>
      </c>
      <c r="C692" s="15" t="str">
        <f>REPLACE(B692,1,9,"45653xx")</f>
        <v>45653xx</v>
      </c>
      <c r="D692" s="16" t="s">
        <v>539</v>
      </c>
    </row>
    <row r="693" spans="2:4" ht="15.75" x14ac:dyDescent="0.3">
      <c r="B693" s="14" t="s">
        <v>1911</v>
      </c>
      <c r="C693" s="15" t="str">
        <f>REPLACE(B693,1,9,"45011xx")</f>
        <v>45011xx</v>
      </c>
      <c r="D693" s="16" t="s">
        <v>25</v>
      </c>
    </row>
    <row r="694" spans="2:4" ht="15.75" x14ac:dyDescent="0.3">
      <c r="B694" s="14" t="s">
        <v>1912</v>
      </c>
      <c r="C694" s="15" t="str">
        <f>REPLACE(B694,1,9,"46027xx")</f>
        <v>46027xx</v>
      </c>
      <c r="D694" s="16" t="s">
        <v>1913</v>
      </c>
    </row>
    <row r="695" spans="2:4" ht="15.75" x14ac:dyDescent="0.3">
      <c r="B695" s="14" t="s">
        <v>1914</v>
      </c>
      <c r="C695" s="15" t="str">
        <f>REPLACE(B695,1,9,"46021xx")</f>
        <v>46021xx</v>
      </c>
      <c r="D695" s="16" t="s">
        <v>1915</v>
      </c>
    </row>
    <row r="696" spans="2:4" ht="15.75" x14ac:dyDescent="0.3">
      <c r="B696" s="14" t="s">
        <v>1916</v>
      </c>
      <c r="C696" s="15" t="str">
        <f>REPLACE(B696,1,9,"46026xx")</f>
        <v>46026xx</v>
      </c>
      <c r="D696" s="16" t="s">
        <v>1917</v>
      </c>
    </row>
    <row r="697" spans="2:4" ht="15.75" x14ac:dyDescent="0.3">
      <c r="B697" s="14" t="s">
        <v>1918</v>
      </c>
      <c r="C697" s="15" t="str">
        <f>REPLACE(B697,1,9,"46023xx")</f>
        <v>46023xx</v>
      </c>
      <c r="D697" s="16" t="s">
        <v>1919</v>
      </c>
    </row>
    <row r="698" spans="2:4" ht="15.75" x14ac:dyDescent="0.3">
      <c r="B698" s="14" t="s">
        <v>1920</v>
      </c>
      <c r="C698" s="15" t="str">
        <f>REPLACE(B698,1,9,"46022xx")</f>
        <v>46022xx</v>
      </c>
      <c r="D698" s="16" t="s">
        <v>1921</v>
      </c>
    </row>
    <row r="699" spans="2:4" ht="15.75" x14ac:dyDescent="0.3">
      <c r="B699" s="14" t="s">
        <v>1922</v>
      </c>
      <c r="C699" s="15" t="str">
        <f>REPLACE(B699,1,9,"46024xx")</f>
        <v>46024xx</v>
      </c>
      <c r="D699" s="16" t="s">
        <v>1923</v>
      </c>
    </row>
    <row r="700" spans="2:4" ht="15.75" x14ac:dyDescent="0.3">
      <c r="B700" s="14" t="s">
        <v>1924</v>
      </c>
      <c r="C700" s="15" t="str">
        <f>REPLACE(B700,1,9,"46025xx")</f>
        <v>46025xx</v>
      </c>
      <c r="D700" s="16" t="s">
        <v>1925</v>
      </c>
    </row>
    <row r="701" spans="2:4" ht="15.75" x14ac:dyDescent="0.3">
      <c r="B701" s="14" t="s">
        <v>1926</v>
      </c>
      <c r="C701" s="15" t="str">
        <f>REPLACE(B701,1,9,"46102xx")</f>
        <v>46102xx</v>
      </c>
      <c r="D701" s="16" t="s">
        <v>1927</v>
      </c>
    </row>
    <row r="702" spans="2:4" ht="15.75" x14ac:dyDescent="0.3">
      <c r="B702" s="14" t="s">
        <v>1928</v>
      </c>
      <c r="C702" s="15" t="str">
        <f>REPLACE(B702,1,9,"46103xx")</f>
        <v>46103xx</v>
      </c>
      <c r="D702" s="16" t="s">
        <v>1929</v>
      </c>
    </row>
    <row r="703" spans="2:4" ht="15.75" x14ac:dyDescent="0.3">
      <c r="B703" s="14" t="s">
        <v>1930</v>
      </c>
      <c r="C703" s="15" t="str">
        <f>REPLACE(B703,1,9,"46104xx")</f>
        <v>46104xx</v>
      </c>
      <c r="D703" s="16" t="s">
        <v>1931</v>
      </c>
    </row>
    <row r="704" spans="2:4" ht="15.75" x14ac:dyDescent="0.3">
      <c r="B704" s="14" t="s">
        <v>1932</v>
      </c>
      <c r="C704" s="15" t="str">
        <f>REPLACE(B704,1,9,"46105xx")</f>
        <v>46105xx</v>
      </c>
      <c r="D704" s="16" t="s">
        <v>1933</v>
      </c>
    </row>
    <row r="705" spans="2:4" ht="15.75" x14ac:dyDescent="0.3">
      <c r="B705" s="14" t="s">
        <v>1934</v>
      </c>
      <c r="C705" s="15" t="str">
        <f>REPLACE(B705,1,9,"46106xx")</f>
        <v>46106xx</v>
      </c>
      <c r="D705" s="16" t="s">
        <v>1935</v>
      </c>
    </row>
    <row r="706" spans="2:4" ht="15.75" x14ac:dyDescent="0.3">
      <c r="B706" s="14" t="s">
        <v>1936</v>
      </c>
      <c r="C706" s="15" t="str">
        <f>REPLACE(B706,1,9,"46107xx")</f>
        <v>46107xx</v>
      </c>
      <c r="D706" s="16" t="s">
        <v>1937</v>
      </c>
    </row>
    <row r="707" spans="2:4" ht="15.75" x14ac:dyDescent="0.3">
      <c r="B707" s="14" t="s">
        <v>1938</v>
      </c>
      <c r="C707" s="15" t="str">
        <f>REPLACE(B707,1,9,"46108xx")</f>
        <v>46108xx</v>
      </c>
      <c r="D707" s="16" t="s">
        <v>1939</v>
      </c>
    </row>
    <row r="708" spans="2:4" ht="15.75" x14ac:dyDescent="0.3">
      <c r="B708" s="14" t="s">
        <v>1940</v>
      </c>
      <c r="C708" s="15" t="str">
        <f>REPLACE(B708,1,9,"46109xx")</f>
        <v>46109xx</v>
      </c>
      <c r="D708" s="16" t="s">
        <v>1941</v>
      </c>
    </row>
    <row r="709" spans="2:4" ht="15.75" x14ac:dyDescent="0.3">
      <c r="B709" s="14" t="s">
        <v>1942</v>
      </c>
      <c r="C709" s="15" t="str">
        <f>REPLACE(B709,1,9,"46101xx")</f>
        <v>46101xx</v>
      </c>
      <c r="D709" s="16" t="s">
        <v>1943</v>
      </c>
    </row>
    <row r="710" spans="2:4" ht="15.75" x14ac:dyDescent="0.3">
      <c r="B710" s="14" t="s">
        <v>1944</v>
      </c>
      <c r="C710" s="15" t="str">
        <f>REPLACE(B710,1,9,"46116xx")</f>
        <v>46116xx</v>
      </c>
      <c r="D710" s="16" t="s">
        <v>1945</v>
      </c>
    </row>
    <row r="711" spans="2:4" ht="15.75" x14ac:dyDescent="0.3">
      <c r="B711" s="14" t="s">
        <v>1946</v>
      </c>
      <c r="C711" s="15" t="str">
        <f>REPLACE(B711,1,9,"46111xx")</f>
        <v>46111xx</v>
      </c>
      <c r="D711" s="16" t="s">
        <v>1947</v>
      </c>
    </row>
    <row r="712" spans="2:4" ht="15.75" x14ac:dyDescent="0.3">
      <c r="B712" s="14" t="s">
        <v>1948</v>
      </c>
      <c r="C712" s="15" t="str">
        <f>REPLACE(B712,1,9,"46112xx")</f>
        <v>46112xx</v>
      </c>
      <c r="D712" s="16" t="s">
        <v>1949</v>
      </c>
    </row>
    <row r="713" spans="2:4" ht="15.75" x14ac:dyDescent="0.3">
      <c r="B713" s="14" t="s">
        <v>1950</v>
      </c>
      <c r="C713" s="15" t="str">
        <f>REPLACE(B713,1,9,"46113xx")</f>
        <v>46113xx</v>
      </c>
      <c r="D713" s="16" t="s">
        <v>1951</v>
      </c>
    </row>
    <row r="714" spans="2:4" ht="15.75" x14ac:dyDescent="0.3">
      <c r="B714" s="14" t="s">
        <v>1952</v>
      </c>
      <c r="C714" s="15" t="str">
        <f>REPLACE(B714,1,9,"46114xx")</f>
        <v>46114xx</v>
      </c>
      <c r="D714" s="16" t="s">
        <v>1953</v>
      </c>
    </row>
    <row r="715" spans="2:4" ht="15.75" x14ac:dyDescent="0.3">
      <c r="B715" s="14" t="s">
        <v>1954</v>
      </c>
      <c r="C715" s="15" t="str">
        <f>REPLACE(B715,1,9,"46115xx")</f>
        <v>46115xx</v>
      </c>
      <c r="D715" s="16" t="s">
        <v>1955</v>
      </c>
    </row>
    <row r="716" spans="2:4" ht="15.75" x14ac:dyDescent="0.3">
      <c r="B716" s="14" t="s">
        <v>1956</v>
      </c>
      <c r="C716" s="15" t="str">
        <f>REPLACE(B716,1,9,"46122xx")</f>
        <v>46122xx</v>
      </c>
      <c r="D716" s="16" t="s">
        <v>1957</v>
      </c>
    </row>
    <row r="717" spans="2:4" ht="15.75" x14ac:dyDescent="0.3">
      <c r="B717" s="14" t="s">
        <v>1958</v>
      </c>
      <c r="C717" s="15" t="str">
        <f>REPLACE(B717,1,9,"46121xx")</f>
        <v>46121xx</v>
      </c>
      <c r="D717" s="16" t="s">
        <v>1959</v>
      </c>
    </row>
    <row r="718" spans="2:4" ht="15.75" x14ac:dyDescent="0.3">
      <c r="B718" s="14" t="s">
        <v>1960</v>
      </c>
      <c r="C718" s="15" t="str">
        <f>REPLACE(B718,1,9,"46123xx")</f>
        <v>46123xx</v>
      </c>
      <c r="D718" s="16" t="s">
        <v>1961</v>
      </c>
    </row>
    <row r="719" spans="2:4" ht="15.75" x14ac:dyDescent="0.3">
      <c r="B719" s="14" t="s">
        <v>1962</v>
      </c>
      <c r="C719" s="15" t="str">
        <f>REPLACE(B719,1,9,"46124xx")</f>
        <v>46124xx</v>
      </c>
      <c r="D719" s="16" t="s">
        <v>1963</v>
      </c>
    </row>
    <row r="720" spans="2:4" ht="15.75" x14ac:dyDescent="0.3">
      <c r="B720" s="14" t="s">
        <v>1964</v>
      </c>
      <c r="C720" s="15" t="str">
        <f>REPLACE(B720,1,9,"47021xx")</f>
        <v>47021xx</v>
      </c>
      <c r="D720" s="16" t="s">
        <v>1965</v>
      </c>
    </row>
    <row r="721" spans="2:4" ht="15.75" x14ac:dyDescent="0.3">
      <c r="B721" s="14" t="s">
        <v>1966</v>
      </c>
      <c r="C721" s="15" t="str">
        <f>REPLACE(B721,1,9,"47022xx")</f>
        <v>47022xx</v>
      </c>
      <c r="D721" s="16" t="s">
        <v>1967</v>
      </c>
    </row>
    <row r="722" spans="2:4" ht="15.75" x14ac:dyDescent="0.3">
      <c r="B722" s="14" t="s">
        <v>1968</v>
      </c>
      <c r="C722" s="15" t="str">
        <f>REPLACE(B722,1,9,"47031xx")</f>
        <v>47031xx</v>
      </c>
      <c r="D722" s="16" t="s">
        <v>550</v>
      </c>
    </row>
    <row r="723" spans="2:4" ht="15.75" x14ac:dyDescent="0.3">
      <c r="B723" s="14" t="s">
        <v>1969</v>
      </c>
      <c r="C723" s="15" t="str">
        <f>REPLACE(B723,1,9,"47102xx")</f>
        <v>47102xx</v>
      </c>
      <c r="D723" s="16" t="s">
        <v>1970</v>
      </c>
    </row>
    <row r="724" spans="2:4" ht="15.75" x14ac:dyDescent="0.3">
      <c r="B724" s="14" t="s">
        <v>1971</v>
      </c>
      <c r="C724" s="15" t="str">
        <f>REPLACE(B724,1,9,"47101xx")</f>
        <v>47101xx</v>
      </c>
      <c r="D724" s="16" t="s">
        <v>1972</v>
      </c>
    </row>
    <row r="725" spans="2:4" ht="15.75" x14ac:dyDescent="0.3">
      <c r="B725" s="14" t="s">
        <v>1973</v>
      </c>
      <c r="C725" s="15" t="str">
        <f>REPLACE(B725,1,9,"47011xx")</f>
        <v>47011xx</v>
      </c>
      <c r="D725" s="16" t="s">
        <v>26</v>
      </c>
    </row>
    <row r="726" spans="2:4" ht="15.75" x14ac:dyDescent="0.3">
      <c r="B726" s="14" t="s">
        <v>1974</v>
      </c>
      <c r="C726" s="15" t="str">
        <f>REPLACE(B726,1,9,"48021xx")</f>
        <v>48021xx</v>
      </c>
      <c r="D726" s="16" t="s">
        <v>1975</v>
      </c>
    </row>
    <row r="727" spans="2:4" ht="15.75" x14ac:dyDescent="0.3">
      <c r="B727" s="14" t="s">
        <v>1976</v>
      </c>
      <c r="C727" s="15" t="str">
        <f>REPLACE(B727,1,9,"48023xx")</f>
        <v>48023xx</v>
      </c>
      <c r="D727" s="16" t="s">
        <v>1977</v>
      </c>
    </row>
    <row r="728" spans="2:4" ht="15.75" x14ac:dyDescent="0.3">
      <c r="B728" s="14" t="s">
        <v>1978</v>
      </c>
      <c r="C728" s="15" t="str">
        <f>REPLACE(B728,1,9,"48022xx")</f>
        <v>48022xx</v>
      </c>
      <c r="D728" s="16" t="s">
        <v>1979</v>
      </c>
    </row>
    <row r="729" spans="2:4" ht="15.75" x14ac:dyDescent="0.3">
      <c r="B729" s="14" t="s">
        <v>1980</v>
      </c>
      <c r="C729" s="15" t="str">
        <f>REPLACE(B729,1,9,"48601xx")</f>
        <v>48601xx</v>
      </c>
      <c r="D729" s="16" t="s">
        <v>556</v>
      </c>
    </row>
    <row r="730" spans="2:4" ht="15.75" x14ac:dyDescent="0.3">
      <c r="B730" s="14" t="s">
        <v>1981</v>
      </c>
      <c r="C730" s="15" t="str">
        <f>REPLACE(B730,1,9,"48611xx")</f>
        <v>48611xx</v>
      </c>
      <c r="D730" s="16" t="s">
        <v>558</v>
      </c>
    </row>
    <row r="731" spans="2:4" ht="15.75" x14ac:dyDescent="0.3">
      <c r="B731" s="14" t="s">
        <v>1982</v>
      </c>
      <c r="C731" s="15" t="str">
        <f>REPLACE(B731,1,9,"48621xx")</f>
        <v>48621xx</v>
      </c>
      <c r="D731" s="16" t="s">
        <v>560</v>
      </c>
    </row>
    <row r="732" spans="2:4" ht="15.75" x14ac:dyDescent="0.3">
      <c r="B732" s="14" t="s">
        <v>1983</v>
      </c>
      <c r="C732" s="15" t="str">
        <f>REPLACE(B732,1,9,"48631xx")</f>
        <v>48631xx</v>
      </c>
      <c r="D732" s="16" t="s">
        <v>562</v>
      </c>
    </row>
    <row r="733" spans="2:4" ht="15.75" x14ac:dyDescent="0.3">
      <c r="B733" s="14" t="s">
        <v>1984</v>
      </c>
      <c r="C733" s="15" t="str">
        <f>REPLACE(B733,1,9,"48641xx")</f>
        <v>48641xx</v>
      </c>
      <c r="D733" s="16" t="s">
        <v>564</v>
      </c>
    </row>
    <row r="734" spans="2:4" ht="15.75" x14ac:dyDescent="0.3">
      <c r="B734" s="14" t="s">
        <v>1985</v>
      </c>
      <c r="C734" s="15" t="str">
        <f>REPLACE(B734,1,9,"48651xx")</f>
        <v>48651xx</v>
      </c>
      <c r="D734" s="16" t="s">
        <v>566</v>
      </c>
    </row>
    <row r="735" spans="2:4" ht="15.75" x14ac:dyDescent="0.3">
      <c r="B735" s="14" t="s">
        <v>1986</v>
      </c>
      <c r="C735" s="15" t="str">
        <f>REPLACE(B735,1,9,"48661xx")</f>
        <v>48661xx</v>
      </c>
      <c r="D735" s="16" t="s">
        <v>568</v>
      </c>
    </row>
    <row r="736" spans="2:4" ht="15.75" x14ac:dyDescent="0.3">
      <c r="B736" s="14" t="s">
        <v>1987</v>
      </c>
      <c r="C736" s="15" t="str">
        <f>REPLACE(B736,1,9,"48671xx")</f>
        <v>48671xx</v>
      </c>
      <c r="D736" s="16" t="s">
        <v>570</v>
      </c>
    </row>
    <row r="737" spans="2:4" ht="15.75" x14ac:dyDescent="0.3">
      <c r="B737" s="14" t="s">
        <v>1988</v>
      </c>
      <c r="C737" s="15" t="str">
        <f>REPLACE(B737,1,9,"48681xx")</f>
        <v>48681xx</v>
      </c>
      <c r="D737" s="16" t="s">
        <v>572</v>
      </c>
    </row>
    <row r="738" spans="2:4" ht="15.75" x14ac:dyDescent="0.3">
      <c r="B738" s="14" t="s">
        <v>1989</v>
      </c>
      <c r="C738" s="15" t="str">
        <f>REPLACE(B738,1,9,"48691xx")</f>
        <v>48691xx</v>
      </c>
      <c r="D738" s="16" t="s">
        <v>574</v>
      </c>
    </row>
    <row r="739" spans="2:4" ht="15.75" x14ac:dyDescent="0.3">
      <c r="B739" s="14" t="s">
        <v>1990</v>
      </c>
      <c r="C739" s="15" t="str">
        <f>REPLACE(B739,1,9,"48701xx")</f>
        <v>48701xx</v>
      </c>
      <c r="D739" s="16" t="s">
        <v>576</v>
      </c>
    </row>
    <row r="740" spans="2:4" ht="15.75" x14ac:dyDescent="0.3">
      <c r="B740" s="14" t="s">
        <v>1991</v>
      </c>
      <c r="C740" s="15" t="str">
        <f>REPLACE(B740,1,9,"48711xx")</f>
        <v>48711xx</v>
      </c>
      <c r="D740" s="16" t="s">
        <v>578</v>
      </c>
    </row>
    <row r="741" spans="2:4" ht="15.75" x14ac:dyDescent="0.3">
      <c r="B741" s="14" t="s">
        <v>1992</v>
      </c>
      <c r="C741" s="15" t="str">
        <f>REPLACE(B741,1,9,"48721xx")</f>
        <v>48721xx</v>
      </c>
      <c r="D741" s="16" t="s">
        <v>580</v>
      </c>
    </row>
    <row r="742" spans="2:4" ht="15.75" x14ac:dyDescent="0.3">
      <c r="B742" s="14" t="s">
        <v>1993</v>
      </c>
      <c r="C742" s="15" t="str">
        <f>REPLACE(B742,1,9,"48731xx")</f>
        <v>48731xx</v>
      </c>
      <c r="D742" s="16" t="s">
        <v>582</v>
      </c>
    </row>
    <row r="743" spans="2:4" ht="15.75" x14ac:dyDescent="0.3">
      <c r="B743" s="14" t="s">
        <v>1994</v>
      </c>
      <c r="C743" s="15" t="str">
        <f>REPLACE(B743,1,9,"48741xx")</f>
        <v>48741xx</v>
      </c>
      <c r="D743" s="16" t="s">
        <v>584</v>
      </c>
    </row>
    <row r="744" spans="2:4" ht="15.75" x14ac:dyDescent="0.3">
      <c r="B744" s="14" t="s">
        <v>1995</v>
      </c>
      <c r="C744" s="15" t="str">
        <f>REPLACE(B744,1,9,"48751xx")</f>
        <v>48751xx</v>
      </c>
      <c r="D744" s="16" t="s">
        <v>586</v>
      </c>
    </row>
    <row r="745" spans="2:4" ht="15.75" x14ac:dyDescent="0.3">
      <c r="B745" s="14" t="s">
        <v>1996</v>
      </c>
      <c r="C745" s="15" t="str">
        <f>REPLACE(B745,1,9,"48761xx")</f>
        <v>48761xx</v>
      </c>
      <c r="D745" s="16" t="s">
        <v>588</v>
      </c>
    </row>
    <row r="746" spans="2:4" ht="15.75" x14ac:dyDescent="0.3">
      <c r="B746" s="14" t="s">
        <v>1997</v>
      </c>
      <c r="C746" s="15" t="str">
        <f>REPLACE(B746,1,9,"48771xx")</f>
        <v>48771xx</v>
      </c>
      <c r="D746" s="16" t="s">
        <v>590</v>
      </c>
    </row>
    <row r="747" spans="2:4" ht="15.75" x14ac:dyDescent="0.3">
      <c r="B747" s="14" t="s">
        <v>1998</v>
      </c>
      <c r="C747" s="15" t="str">
        <f>REPLACE(B747,1,9,"48791xx")</f>
        <v>48791xx</v>
      </c>
      <c r="D747" s="16" t="s">
        <v>1999</v>
      </c>
    </row>
    <row r="748" spans="2:4" ht="15.75" x14ac:dyDescent="0.3">
      <c r="B748" s="14" t="s">
        <v>2000</v>
      </c>
      <c r="C748" s="15" t="str">
        <f>REPLACE(B748,1,9,"48801xx")</f>
        <v>48801xx</v>
      </c>
      <c r="D748" s="16" t="s">
        <v>594</v>
      </c>
    </row>
    <row r="749" spans="2:4" ht="15.75" x14ac:dyDescent="0.3">
      <c r="B749" s="14" t="s">
        <v>2001</v>
      </c>
      <c r="C749" s="15" t="str">
        <f>REPLACE(B749,1,9,"48011xx")</f>
        <v>48011xx</v>
      </c>
      <c r="D749" s="16" t="s">
        <v>28</v>
      </c>
    </row>
    <row r="750" spans="2:4" ht="15.75" x14ac:dyDescent="0.3">
      <c r="B750" s="14" t="s">
        <v>2002</v>
      </c>
      <c r="C750" s="15" t="str">
        <f>REPLACE(B750,1,9,"48201xx")</f>
        <v>48201xx</v>
      </c>
      <c r="D750" s="16" t="s">
        <v>597</v>
      </c>
    </row>
    <row r="751" spans="2:4" ht="15.75" x14ac:dyDescent="0.3">
      <c r="B751" s="14" t="s">
        <v>2003</v>
      </c>
      <c r="C751" s="15" t="str">
        <f>REPLACE(B751,1,9,"48211xx")</f>
        <v>48211xx</v>
      </c>
      <c r="D751" s="16" t="s">
        <v>599</v>
      </c>
    </row>
    <row r="752" spans="2:4" ht="15.75" x14ac:dyDescent="0.3">
      <c r="B752" s="14" t="s">
        <v>2004</v>
      </c>
      <c r="C752" s="15" t="str">
        <f>REPLACE(B752,1,9,"48221xx")</f>
        <v>48221xx</v>
      </c>
      <c r="D752" s="16" t="s">
        <v>601</v>
      </c>
    </row>
    <row r="753" spans="2:4" ht="15.75" x14ac:dyDescent="0.3">
      <c r="B753" s="14" t="s">
        <v>2005</v>
      </c>
      <c r="C753" s="15" t="str">
        <f>REPLACE(B753,1,9,"48231xx")</f>
        <v>48231xx</v>
      </c>
      <c r="D753" s="16" t="s">
        <v>603</v>
      </c>
    </row>
    <row r="754" spans="2:4" ht="15.75" x14ac:dyDescent="0.3">
      <c r="B754" s="14" t="s">
        <v>2006</v>
      </c>
      <c r="C754" s="15" t="str">
        <f>REPLACE(B754,1,9,"48241xx")</f>
        <v>48241xx</v>
      </c>
      <c r="D754" s="16" t="s">
        <v>605</v>
      </c>
    </row>
    <row r="755" spans="2:4" ht="15.75" x14ac:dyDescent="0.3">
      <c r="B755" s="14" t="s">
        <v>2007</v>
      </c>
      <c r="C755" s="15" t="str">
        <f>REPLACE(B755,1,9,"48251xx")</f>
        <v>48251xx</v>
      </c>
      <c r="D755" s="16" t="s">
        <v>607</v>
      </c>
    </row>
    <row r="756" spans="2:4" ht="15.75" x14ac:dyDescent="0.3">
      <c r="B756" s="14" t="s">
        <v>2008</v>
      </c>
      <c r="C756" s="15" t="str">
        <f>REPLACE(B756,1,9,"48261xx")</f>
        <v>48261xx</v>
      </c>
      <c r="D756" s="16" t="s">
        <v>609</v>
      </c>
    </row>
    <row r="757" spans="2:4" ht="15.75" x14ac:dyDescent="0.3">
      <c r="B757" s="14" t="s">
        <v>2009</v>
      </c>
      <c r="C757" s="15" t="str">
        <f>REPLACE(B757,1,9,"48271xx")</f>
        <v>48271xx</v>
      </c>
      <c r="D757" s="16" t="s">
        <v>611</v>
      </c>
    </row>
    <row r="758" spans="2:4" ht="15.75" x14ac:dyDescent="0.3">
      <c r="B758" s="14" t="s">
        <v>2010</v>
      </c>
      <c r="C758" s="15" t="str">
        <f>REPLACE(B758,1,9,"48281xx")</f>
        <v>48281xx</v>
      </c>
      <c r="D758" s="16" t="s">
        <v>613</v>
      </c>
    </row>
    <row r="759" spans="2:4" ht="15.75" x14ac:dyDescent="0.3">
      <c r="B759" s="14" t="s">
        <v>2011</v>
      </c>
      <c r="C759" s="15" t="str">
        <f>REPLACE(B759,1,9,"48291xx")</f>
        <v>48291xx</v>
      </c>
      <c r="D759" s="16" t="s">
        <v>615</v>
      </c>
    </row>
    <row r="760" spans="2:4" ht="15.75" x14ac:dyDescent="0.3">
      <c r="B760" s="14" t="s">
        <v>2012</v>
      </c>
      <c r="C760" s="15" t="str">
        <f>REPLACE(B760,1,9,"48301xx")</f>
        <v>48301xx</v>
      </c>
      <c r="D760" s="16" t="s">
        <v>617</v>
      </c>
    </row>
    <row r="761" spans="2:4" ht="15.75" x14ac:dyDescent="0.3">
      <c r="B761" s="14" t="s">
        <v>2013</v>
      </c>
      <c r="C761" s="15" t="str">
        <f>REPLACE(B761,1,9,"48311xx")</f>
        <v>48311xx</v>
      </c>
      <c r="D761" s="16" t="s">
        <v>619</v>
      </c>
    </row>
    <row r="762" spans="2:4" ht="15.75" x14ac:dyDescent="0.3">
      <c r="B762" s="14" t="s">
        <v>2014</v>
      </c>
      <c r="C762" s="15" t="str">
        <f>REPLACE(B762,1,9,"48321xx")</f>
        <v>48321xx</v>
      </c>
      <c r="D762" s="16" t="s">
        <v>621</v>
      </c>
    </row>
    <row r="763" spans="2:4" ht="15.75" x14ac:dyDescent="0.3">
      <c r="B763" s="14" t="s">
        <v>2015</v>
      </c>
      <c r="C763" s="15" t="str">
        <f>REPLACE(B763,1,9,"48331xx")</f>
        <v>48331xx</v>
      </c>
      <c r="D763" s="16" t="s">
        <v>29</v>
      </c>
    </row>
    <row r="764" spans="2:4" ht="15.75" x14ac:dyDescent="0.3">
      <c r="B764" s="14" t="s">
        <v>2016</v>
      </c>
      <c r="C764" s="15" t="str">
        <f>REPLACE(B764,1,9,"48401xx")</f>
        <v>48401xx</v>
      </c>
      <c r="D764" s="16" t="s">
        <v>624</v>
      </c>
    </row>
    <row r="765" spans="2:4" ht="15.75" x14ac:dyDescent="0.3">
      <c r="B765" s="14" t="s">
        <v>2017</v>
      </c>
      <c r="C765" s="15" t="str">
        <f>REPLACE(B765,1,9,"48411xx")</f>
        <v>48411xx</v>
      </c>
      <c r="D765" s="16" t="s">
        <v>626</v>
      </c>
    </row>
    <row r="766" spans="2:4" ht="15.75" x14ac:dyDescent="0.3">
      <c r="B766" s="14" t="s">
        <v>2018</v>
      </c>
      <c r="C766" s="15" t="str">
        <f>REPLACE(B766,1,9,"48421xx")</f>
        <v>48421xx</v>
      </c>
      <c r="D766" s="16" t="s">
        <v>628</v>
      </c>
    </row>
    <row r="767" spans="2:4" ht="15.75" x14ac:dyDescent="0.3">
      <c r="B767" s="14" t="s">
        <v>2019</v>
      </c>
      <c r="C767" s="15" t="str">
        <f>REPLACE(B767,1,9,"48431xx")</f>
        <v>48431xx</v>
      </c>
      <c r="D767" s="16" t="s">
        <v>630</v>
      </c>
    </row>
    <row r="768" spans="2:4" ht="15.75" x14ac:dyDescent="0.3">
      <c r="B768" s="14" t="s">
        <v>2020</v>
      </c>
      <c r="C768" s="15" t="str">
        <f>REPLACE(B768,1,9,"48441xx")</f>
        <v>48441xx</v>
      </c>
      <c r="D768" s="16" t="s">
        <v>632</v>
      </c>
    </row>
    <row r="769" spans="2:4" ht="15.75" x14ac:dyDescent="0.3">
      <c r="B769" s="14" t="s">
        <v>2021</v>
      </c>
      <c r="C769" s="15" t="str">
        <f>REPLACE(B769,1,9,"48451xx")</f>
        <v>48451xx</v>
      </c>
      <c r="D769" s="16" t="s">
        <v>634</v>
      </c>
    </row>
    <row r="770" spans="2:4" ht="15.75" x14ac:dyDescent="0.3">
      <c r="B770" s="14" t="s">
        <v>2022</v>
      </c>
      <c r="C770" s="15" t="str">
        <f>REPLACE(B770,1,9,"48461xx")</f>
        <v>48461xx</v>
      </c>
      <c r="D770" s="16" t="s">
        <v>636</v>
      </c>
    </row>
    <row r="771" spans="2:4" ht="15.75" x14ac:dyDescent="0.3">
      <c r="B771" s="14" t="s">
        <v>2023</v>
      </c>
      <c r="C771" s="15" t="str">
        <f>REPLACE(B771,1,9,"48471xx")</f>
        <v>48471xx</v>
      </c>
      <c r="D771" s="16" t="s">
        <v>638</v>
      </c>
    </row>
    <row r="772" spans="2:4" ht="15.75" x14ac:dyDescent="0.3">
      <c r="B772" s="14" t="s">
        <v>2024</v>
      </c>
      <c r="C772" s="15" t="str">
        <f>REPLACE(B772,1,9,"48481xx")</f>
        <v>48481xx</v>
      </c>
      <c r="D772" s="16" t="s">
        <v>640</v>
      </c>
    </row>
    <row r="773" spans="2:4" ht="15.75" x14ac:dyDescent="0.3">
      <c r="B773" s="14" t="s">
        <v>2025</v>
      </c>
      <c r="C773" s="15" t="str">
        <f>REPLACE(B773,1,9,"48491xx")</f>
        <v>48491xx</v>
      </c>
      <c r="D773" s="16" t="s">
        <v>30</v>
      </c>
    </row>
    <row r="774" spans="2:4" ht="15.75" x14ac:dyDescent="0.3">
      <c r="B774" s="14" t="s">
        <v>2026</v>
      </c>
      <c r="C774" s="15" t="str">
        <f>REPLACE(B774,1,9,"48101xx")</f>
        <v>48101xx</v>
      </c>
      <c r="D774" s="16" t="s">
        <v>643</v>
      </c>
    </row>
    <row r="775" spans="2:4" ht="15.75" x14ac:dyDescent="0.3">
      <c r="B775" s="14" t="s">
        <v>2027</v>
      </c>
      <c r="C775" s="15" t="str">
        <f>REPLACE(B775,1,9,"48111xx")</f>
        <v>48111xx</v>
      </c>
      <c r="D775" s="16" t="s">
        <v>645</v>
      </c>
    </row>
    <row r="776" spans="2:4" ht="15.75" x14ac:dyDescent="0.3">
      <c r="B776" s="14" t="s">
        <v>2028</v>
      </c>
      <c r="C776" s="15" t="str">
        <f>REPLACE(B776,1,9,"48121xx")</f>
        <v>48121xx</v>
      </c>
      <c r="D776" s="16" t="s">
        <v>647</v>
      </c>
    </row>
    <row r="777" spans="2:4" ht="15.75" x14ac:dyDescent="0.3">
      <c r="B777" s="14" t="s">
        <v>2029</v>
      </c>
      <c r="C777" s="15" t="str">
        <f>REPLACE(B777,1,9,"48131xx")</f>
        <v>48131xx</v>
      </c>
      <c r="D777" s="16" t="s">
        <v>649</v>
      </c>
    </row>
    <row r="778" spans="2:4" ht="15.75" x14ac:dyDescent="0.3">
      <c r="B778" s="14" t="s">
        <v>2030</v>
      </c>
      <c r="C778" s="15" t="str">
        <f>REPLACE(B778,1,9,"48141xx")</f>
        <v>48141xx</v>
      </c>
      <c r="D778" s="16" t="s">
        <v>651</v>
      </c>
    </row>
    <row r="779" spans="2:4" ht="15.75" x14ac:dyDescent="0.3">
      <c r="B779" s="14" t="s">
        <v>2031</v>
      </c>
      <c r="C779" s="15" t="str">
        <f>REPLACE(B779,1,9,"48151xx")</f>
        <v>48151xx</v>
      </c>
      <c r="D779" s="16" t="s">
        <v>31</v>
      </c>
    </row>
    <row r="780" spans="2:4" ht="15.75" x14ac:dyDescent="0.3">
      <c r="B780" s="14" t="s">
        <v>2032</v>
      </c>
      <c r="C780" s="15" t="str">
        <f>REPLACE(B780,1,9,"60035xx")</f>
        <v>60035xx</v>
      </c>
      <c r="D780" s="16" t="s">
        <v>2033</v>
      </c>
    </row>
    <row r="781" spans="2:4" ht="15.75" x14ac:dyDescent="0.3">
      <c r="B781" s="14" t="s">
        <v>2034</v>
      </c>
      <c r="C781" s="15" t="str">
        <f>REPLACE(B781,1,9,"60032xx")</f>
        <v>60032xx</v>
      </c>
      <c r="D781" s="16" t="s">
        <v>2035</v>
      </c>
    </row>
    <row r="782" spans="2:4" ht="15.75" x14ac:dyDescent="0.3">
      <c r="B782" s="14" t="s">
        <v>2036</v>
      </c>
      <c r="C782" s="15" t="str">
        <f>REPLACE(B782,1,9,"60031xx")</f>
        <v>60031xx</v>
      </c>
      <c r="D782" s="16" t="s">
        <v>2037</v>
      </c>
    </row>
    <row r="783" spans="2:4" ht="15.75" x14ac:dyDescent="0.3">
      <c r="B783" s="14" t="s">
        <v>2038</v>
      </c>
      <c r="C783" s="15" t="str">
        <f>REPLACE(B783,1,9,"60034xx")</f>
        <v>60034xx</v>
      </c>
      <c r="D783" s="16" t="s">
        <v>2039</v>
      </c>
    </row>
    <row r="784" spans="2:4" ht="15.75" x14ac:dyDescent="0.3">
      <c r="B784" s="14" t="s">
        <v>2040</v>
      </c>
      <c r="C784" s="15" t="str">
        <f>REPLACE(B784,1,9,"60033xx")</f>
        <v>60033xx</v>
      </c>
      <c r="D784" s="16" t="s">
        <v>2041</v>
      </c>
    </row>
    <row r="785" spans="2:4" ht="15.75" x14ac:dyDescent="0.3">
      <c r="B785" s="14" t="s">
        <v>2042</v>
      </c>
      <c r="C785" s="15" t="str">
        <f>REPLACE(B785,1,9,"60101xx")</f>
        <v>60101xx</v>
      </c>
      <c r="D785" s="16" t="s">
        <v>2043</v>
      </c>
    </row>
    <row r="786" spans="2:4" ht="15.75" x14ac:dyDescent="0.3">
      <c r="B786" s="14" t="s">
        <v>2044</v>
      </c>
      <c r="C786" s="15" t="str">
        <f>REPLACE(B786,1,9,"60102xx")</f>
        <v>60102xx</v>
      </c>
      <c r="D786" s="16" t="s">
        <v>2045</v>
      </c>
    </row>
    <row r="787" spans="2:4" ht="15.75" x14ac:dyDescent="0.3">
      <c r="B787" s="14" t="s">
        <v>2046</v>
      </c>
      <c r="C787" s="15" t="str">
        <f>REPLACE(B787,1,9,"60103xx")</f>
        <v>60103xx</v>
      </c>
      <c r="D787" s="16" t="s">
        <v>2047</v>
      </c>
    </row>
    <row r="788" spans="2:4" ht="15.75" x14ac:dyDescent="0.3">
      <c r="B788" s="14" t="s">
        <v>2048</v>
      </c>
      <c r="C788" s="15" t="str">
        <f>REPLACE(B788,1,9,"60104xx")</f>
        <v>60104xx</v>
      </c>
      <c r="D788" s="16" t="s">
        <v>2049</v>
      </c>
    </row>
    <row r="789" spans="2:4" ht="15.75" x14ac:dyDescent="0.3">
      <c r="B789" s="14" t="s">
        <v>2050</v>
      </c>
      <c r="C789" s="15" t="str">
        <f>REPLACE(B789,1,9,"60106xx")</f>
        <v>60106xx</v>
      </c>
      <c r="D789" s="16" t="s">
        <v>2051</v>
      </c>
    </row>
    <row r="790" spans="2:4" ht="15.75" x14ac:dyDescent="0.3">
      <c r="B790" s="14" t="s">
        <v>2052</v>
      </c>
      <c r="C790" s="15" t="str">
        <f>REPLACE(B790,1,9,"60105xx")</f>
        <v>60105xx</v>
      </c>
      <c r="D790" s="16" t="s">
        <v>2053</v>
      </c>
    </row>
    <row r="791" spans="2:4" ht="15.75" x14ac:dyDescent="0.3">
      <c r="B791" s="14" t="s">
        <v>2054</v>
      </c>
      <c r="C791" s="15" t="str">
        <f>REPLACE(B791,1,9,"60011xx")</f>
        <v>60011xx</v>
      </c>
      <c r="D791" s="16" t="s">
        <v>2055</v>
      </c>
    </row>
    <row r="792" spans="2:4" ht="15.75" x14ac:dyDescent="0.3">
      <c r="B792" s="14" t="s">
        <v>2056</v>
      </c>
      <c r="C792" s="15" t="str">
        <f>REPLACE(B792,1,9,"60023xx")</f>
        <v>60023xx</v>
      </c>
      <c r="D792" s="16" t="s">
        <v>2057</v>
      </c>
    </row>
    <row r="793" spans="2:4" ht="15.75" x14ac:dyDescent="0.3">
      <c r="B793" s="14" t="s">
        <v>2058</v>
      </c>
      <c r="C793" s="15" t="str">
        <f>REPLACE(B793,1,9,"60025xx")</f>
        <v>60025xx</v>
      </c>
      <c r="D793" s="16" t="s">
        <v>2059</v>
      </c>
    </row>
    <row r="794" spans="2:4" ht="15.75" x14ac:dyDescent="0.3">
      <c r="B794" s="14" t="s">
        <v>2060</v>
      </c>
      <c r="C794" s="15" t="str">
        <f>REPLACE(B794,1,9,"60022xx")</f>
        <v>60022xx</v>
      </c>
      <c r="D794" s="16" t="s">
        <v>2061</v>
      </c>
    </row>
    <row r="795" spans="2:4" ht="15.75" x14ac:dyDescent="0.3">
      <c r="B795" s="14" t="s">
        <v>2062</v>
      </c>
      <c r="C795" s="15" t="str">
        <f>REPLACE(B795,1,9,"60021xx")</f>
        <v>60021xx</v>
      </c>
      <c r="D795" s="16" t="s">
        <v>2063</v>
      </c>
    </row>
    <row r="796" spans="2:4" ht="15.75" x14ac:dyDescent="0.3">
      <c r="B796" s="14" t="s">
        <v>2064</v>
      </c>
      <c r="C796" s="15" t="str">
        <f>REPLACE(B796,1,9,"60024xx")</f>
        <v>60024xx</v>
      </c>
      <c r="D796" s="16" t="s">
        <v>2065</v>
      </c>
    </row>
    <row r="797" spans="2:4" ht="15.75" x14ac:dyDescent="0.3">
      <c r="B797" s="14" t="s">
        <v>2066</v>
      </c>
      <c r="C797" s="15" t="str">
        <f>REPLACE(B797,1,9,"60605xx")</f>
        <v>60605xx</v>
      </c>
      <c r="D797" s="16" t="s">
        <v>2067</v>
      </c>
    </row>
    <row r="798" spans="2:4" ht="15.75" x14ac:dyDescent="0.3">
      <c r="B798" s="14" t="s">
        <v>2068</v>
      </c>
      <c r="C798" s="15" t="str">
        <f>REPLACE(B798,1,9,"60604xx")</f>
        <v>60604xx</v>
      </c>
      <c r="D798" s="16" t="s">
        <v>2069</v>
      </c>
    </row>
    <row r="799" spans="2:4" ht="15.75" x14ac:dyDescent="0.3">
      <c r="B799" s="14" t="s">
        <v>2070</v>
      </c>
      <c r="C799" s="15" t="str">
        <f>REPLACE(B799,1,9,"60602xx")</f>
        <v>60602xx</v>
      </c>
      <c r="D799" s="16" t="s">
        <v>2071</v>
      </c>
    </row>
    <row r="800" spans="2:4" ht="15.75" x14ac:dyDescent="0.3">
      <c r="B800" s="14" t="s">
        <v>2072</v>
      </c>
      <c r="C800" s="15" t="str">
        <f>REPLACE(B800,1,9,"60609xx")</f>
        <v>60609xx</v>
      </c>
      <c r="D800" s="16" t="s">
        <v>2073</v>
      </c>
    </row>
    <row r="801" spans="2:4" ht="15.75" x14ac:dyDescent="0.3">
      <c r="B801" s="14" t="s">
        <v>2074</v>
      </c>
      <c r="C801" s="15" t="str">
        <f>REPLACE(B801,1,9,"60608xx")</f>
        <v>60608xx</v>
      </c>
      <c r="D801" s="16" t="s">
        <v>2075</v>
      </c>
    </row>
    <row r="802" spans="2:4" ht="15.75" x14ac:dyDescent="0.3">
      <c r="B802" s="14" t="s">
        <v>2076</v>
      </c>
      <c r="C802" s="15" t="str">
        <f>REPLACE(B802,1,9,"60607xx")</f>
        <v>60607xx</v>
      </c>
      <c r="D802" s="16" t="s">
        <v>2077</v>
      </c>
    </row>
    <row r="803" spans="2:4" ht="15.75" x14ac:dyDescent="0.3">
      <c r="B803" s="14" t="s">
        <v>2078</v>
      </c>
      <c r="C803" s="15" t="str">
        <f>REPLACE(B803,1,9,"60606xx")</f>
        <v>60606xx</v>
      </c>
      <c r="D803" s="16" t="s">
        <v>2079</v>
      </c>
    </row>
    <row r="804" spans="2:4" ht="15.75" x14ac:dyDescent="0.3">
      <c r="B804" s="14" t="s">
        <v>2080</v>
      </c>
      <c r="C804" s="15" t="str">
        <f>REPLACE(B804,1,9,"60603xx")</f>
        <v>60603xx</v>
      </c>
      <c r="D804" s="16" t="s">
        <v>2081</v>
      </c>
    </row>
    <row r="805" spans="2:4" ht="15.75" x14ac:dyDescent="0.3">
      <c r="B805" s="14" t="s">
        <v>2082</v>
      </c>
      <c r="C805" s="15" t="str">
        <f>REPLACE(B805,1,9,"60601xx")</f>
        <v>60601xx</v>
      </c>
      <c r="D805" s="16" t="s">
        <v>2083</v>
      </c>
    </row>
    <row r="806" spans="2:4" ht="15.75" x14ac:dyDescent="0.3">
      <c r="B806" s="14" t="s">
        <v>2084</v>
      </c>
      <c r="C806" s="15" t="str">
        <f>REPLACE(B806,1,9,"60611xx")</f>
        <v>60611xx</v>
      </c>
      <c r="D806" s="16" t="s">
        <v>2085</v>
      </c>
    </row>
    <row r="807" spans="2:4" ht="15.75" x14ac:dyDescent="0.3">
      <c r="B807" s="14" t="s">
        <v>2086</v>
      </c>
      <c r="C807" s="15" t="str">
        <f>REPLACE(B807,1,9,"60617xx")</f>
        <v>60617xx</v>
      </c>
      <c r="D807" s="16" t="s">
        <v>2087</v>
      </c>
    </row>
    <row r="808" spans="2:4" ht="15.75" x14ac:dyDescent="0.3">
      <c r="B808" s="14" t="s">
        <v>2088</v>
      </c>
      <c r="C808" s="15" t="str">
        <f>REPLACE(B808,1,9,"60616xx")</f>
        <v>60616xx</v>
      </c>
      <c r="D808" s="16" t="s">
        <v>2089</v>
      </c>
    </row>
    <row r="809" spans="2:4" ht="15.75" x14ac:dyDescent="0.3">
      <c r="B809" s="14" t="s">
        <v>2090</v>
      </c>
      <c r="C809" s="15" t="str">
        <f>REPLACE(B809,1,9,"60619xx")</f>
        <v>60619xx</v>
      </c>
      <c r="D809" s="16" t="s">
        <v>2091</v>
      </c>
    </row>
    <row r="810" spans="2:4" ht="15.75" x14ac:dyDescent="0.3">
      <c r="B810" s="14" t="s">
        <v>2092</v>
      </c>
      <c r="C810" s="15" t="str">
        <f>REPLACE(B810,1,9,"60614xx")</f>
        <v>60614xx</v>
      </c>
      <c r="D810" s="16" t="s">
        <v>2093</v>
      </c>
    </row>
    <row r="811" spans="2:4" ht="15.75" x14ac:dyDescent="0.3">
      <c r="B811" s="14" t="s">
        <v>2094</v>
      </c>
      <c r="C811" s="15" t="str">
        <f>REPLACE(B811,1,9,"60612xx")</f>
        <v>60612xx</v>
      </c>
      <c r="D811" s="16" t="s">
        <v>2095</v>
      </c>
    </row>
    <row r="812" spans="2:4" ht="15.75" x14ac:dyDescent="0.3">
      <c r="B812" s="14" t="s">
        <v>2096</v>
      </c>
      <c r="C812" s="15" t="str">
        <f>REPLACE(B812,1,9,"60615xx")</f>
        <v>60615xx</v>
      </c>
      <c r="D812" s="16" t="s">
        <v>2097</v>
      </c>
    </row>
    <row r="813" spans="2:4" ht="15.75" x14ac:dyDescent="0.3">
      <c r="B813" s="14" t="s">
        <v>2098</v>
      </c>
      <c r="C813" s="15" t="str">
        <f>REPLACE(B813,1,9,"60618xx")</f>
        <v>60618xx</v>
      </c>
      <c r="D813" s="16" t="s">
        <v>2099</v>
      </c>
    </row>
    <row r="814" spans="2:4" ht="15.75" x14ac:dyDescent="0.3">
      <c r="B814" s="14" t="s">
        <v>2100</v>
      </c>
      <c r="C814" s="15" t="str">
        <f>REPLACE(B814,1,9,"60613xx")</f>
        <v>60613xx</v>
      </c>
      <c r="D814" s="16" t="s">
        <v>2101</v>
      </c>
    </row>
    <row r="815" spans="2:4" ht="15.75" x14ac:dyDescent="0.3">
      <c r="B815" s="14" t="s">
        <v>2102</v>
      </c>
      <c r="C815" s="15" t="str">
        <f>REPLACE(B815,1,9,"60624xx")</f>
        <v>60624xx</v>
      </c>
      <c r="D815" s="16" t="s">
        <v>2103</v>
      </c>
    </row>
    <row r="816" spans="2:4" ht="15.75" x14ac:dyDescent="0.3">
      <c r="B816" s="14" t="s">
        <v>2104</v>
      </c>
      <c r="C816" s="15" t="str">
        <f>REPLACE(B816,1,9,"60621xx")</f>
        <v>60621xx</v>
      </c>
      <c r="D816" s="16" t="s">
        <v>2105</v>
      </c>
    </row>
    <row r="817" spans="2:4" ht="15.75" x14ac:dyDescent="0.3">
      <c r="B817" s="14" t="s">
        <v>2106</v>
      </c>
      <c r="C817" s="15" t="str">
        <f>REPLACE(B817,1,9,"60625xx")</f>
        <v>60625xx</v>
      </c>
      <c r="D817" s="16" t="s">
        <v>2107</v>
      </c>
    </row>
    <row r="818" spans="2:4" ht="15.75" x14ac:dyDescent="0.3">
      <c r="B818" s="14" t="s">
        <v>2108</v>
      </c>
      <c r="C818" s="15" t="str">
        <f>REPLACE(B818,1,9,"60623xx")</f>
        <v>60623xx</v>
      </c>
      <c r="D818" s="16" t="s">
        <v>2109</v>
      </c>
    </row>
    <row r="819" spans="2:4" ht="15.75" x14ac:dyDescent="0.3">
      <c r="B819" s="14" t="s">
        <v>2110</v>
      </c>
      <c r="C819" s="15" t="str">
        <f>REPLACE(B819,1,9,"60622xx")</f>
        <v>60622xx</v>
      </c>
      <c r="D819" s="16" t="s">
        <v>2111</v>
      </c>
    </row>
    <row r="820" spans="2:4" ht="15.75" x14ac:dyDescent="0.3">
      <c r="B820" s="14" t="s">
        <v>2112</v>
      </c>
      <c r="C820" s="15" t="str">
        <f>REPLACE(B820,1,9,"60633xx")</f>
        <v>60633xx</v>
      </c>
      <c r="D820" s="16" t="s">
        <v>2113</v>
      </c>
    </row>
    <row r="821" spans="2:4" ht="15.75" x14ac:dyDescent="0.3">
      <c r="B821" s="14" t="s">
        <v>2114</v>
      </c>
      <c r="C821" s="15" t="str">
        <f>REPLACE(B821,1,9,"60631xx")</f>
        <v>60631xx</v>
      </c>
      <c r="D821" s="16" t="s">
        <v>2115</v>
      </c>
    </row>
    <row r="822" spans="2:4" ht="15.75" x14ac:dyDescent="0.3">
      <c r="B822" s="14" t="s">
        <v>2116</v>
      </c>
      <c r="C822" s="15" t="str">
        <f>REPLACE(B822,1,9,"60632xx")</f>
        <v>60632xx</v>
      </c>
      <c r="D822" s="16" t="s">
        <v>2117</v>
      </c>
    </row>
    <row r="823" spans="2:4" ht="15.75" x14ac:dyDescent="0.3">
      <c r="B823" s="14" t="s">
        <v>2118</v>
      </c>
      <c r="C823" s="15" t="str">
        <f>REPLACE(B823,1,9,"64111xx")</f>
        <v>64111xx</v>
      </c>
      <c r="D823" s="16" t="s">
        <v>32</v>
      </c>
    </row>
    <row r="824" spans="2:4" ht="15.75" x14ac:dyDescent="0.3">
      <c r="B824" s="14" t="s">
        <v>2119</v>
      </c>
      <c r="C824" s="15" t="str">
        <f>REPLACE(B824,1,9,"64131xx")</f>
        <v>64131xx</v>
      </c>
      <c r="D824" s="16" t="s">
        <v>33</v>
      </c>
    </row>
    <row r="825" spans="2:4" ht="15.75" x14ac:dyDescent="0.3">
      <c r="B825" s="14" t="s">
        <v>2120</v>
      </c>
      <c r="C825" s="15" t="str">
        <f>REPLACE(B825,1,9,"64101xx")</f>
        <v>64101xx</v>
      </c>
      <c r="D825" s="16" t="s">
        <v>34</v>
      </c>
    </row>
    <row r="826" spans="2:4" ht="15.75" x14ac:dyDescent="0.3">
      <c r="B826" s="14" t="s">
        <v>2121</v>
      </c>
      <c r="C826" s="15" t="str">
        <f>REPLACE(B826,1,9,"64142xx")</f>
        <v>64142xx</v>
      </c>
      <c r="D826" s="16" t="s">
        <v>2122</v>
      </c>
    </row>
    <row r="827" spans="2:4" ht="15.75" x14ac:dyDescent="0.3">
      <c r="B827" s="14" t="s">
        <v>2123</v>
      </c>
      <c r="C827" s="15" t="str">
        <f>REPLACE(B827,1,9,"64141xx")</f>
        <v>64141xx</v>
      </c>
      <c r="D827" s="16" t="s">
        <v>35</v>
      </c>
    </row>
    <row r="828" spans="2:4" ht="15.75" x14ac:dyDescent="0.3">
      <c r="B828" s="14" t="s">
        <v>2124</v>
      </c>
      <c r="C828" s="15" t="str">
        <f>REPLACE(B828,1,9,"64121xx")</f>
        <v>64121xx</v>
      </c>
      <c r="D828" s="16" t="s">
        <v>36</v>
      </c>
    </row>
    <row r="829" spans="2:4" ht="15.75" x14ac:dyDescent="0.3">
      <c r="B829" s="14" t="s">
        <v>2125</v>
      </c>
      <c r="C829" s="15" t="str">
        <f>REPLACE(B829,1,9,"50021xx")</f>
        <v>50021xx</v>
      </c>
      <c r="D829" s="16" t="s">
        <v>2126</v>
      </c>
    </row>
    <row r="830" spans="2:4" ht="15.75" x14ac:dyDescent="0.3">
      <c r="B830" s="14" t="s">
        <v>2127</v>
      </c>
      <c r="C830" s="15" t="str">
        <f>REPLACE(B830,1,9,"50022xx")</f>
        <v>50022xx</v>
      </c>
      <c r="D830" s="16" t="s">
        <v>2128</v>
      </c>
    </row>
    <row r="831" spans="2:4" ht="15.75" x14ac:dyDescent="0.3">
      <c r="B831" s="14" t="s">
        <v>2129</v>
      </c>
      <c r="C831" s="15" t="str">
        <f>REPLACE(B831,1,9,"50611xx")</f>
        <v>50611xx</v>
      </c>
      <c r="D831" s="16" t="s">
        <v>2130</v>
      </c>
    </row>
    <row r="832" spans="2:4" ht="15.75" x14ac:dyDescent="0.3">
      <c r="B832" s="14" t="s">
        <v>2131</v>
      </c>
      <c r="C832" s="15" t="str">
        <f>REPLACE(B832,1,9,"50612xx")</f>
        <v>50612xx</v>
      </c>
      <c r="D832" s="16" t="s">
        <v>2132</v>
      </c>
    </row>
    <row r="833" spans="2:4" ht="15.75" x14ac:dyDescent="0.3">
      <c r="B833" s="14" t="s">
        <v>2133</v>
      </c>
      <c r="C833" s="15" t="str">
        <f>REPLACE(B833,1,9,"50601xx")</f>
        <v>50601xx</v>
      </c>
      <c r="D833" s="16" t="s">
        <v>39</v>
      </c>
    </row>
    <row r="834" spans="2:4" ht="15.75" x14ac:dyDescent="0.3">
      <c r="B834" s="14" t="s">
        <v>2134</v>
      </c>
      <c r="C834" s="15" t="str">
        <f>REPLACE(B834,1,9,"50011xx")</f>
        <v>50011xx</v>
      </c>
      <c r="D834" s="16" t="s">
        <v>40</v>
      </c>
    </row>
    <row r="835" spans="2:4" ht="15.75" x14ac:dyDescent="0.3">
      <c r="B835" s="14" t="s">
        <v>2135</v>
      </c>
      <c r="C835" s="15" t="str">
        <f>REPLACE(B835,1,9,"50101xx")</f>
        <v>50101xx</v>
      </c>
      <c r="D835" s="16" t="s">
        <v>2136</v>
      </c>
    </row>
    <row r="836" spans="2:4" ht="15.75" x14ac:dyDescent="0.3">
      <c r="B836" s="14" t="s">
        <v>2137</v>
      </c>
      <c r="C836" s="15" t="str">
        <f>REPLACE(B836,1,9,"50106xx")</f>
        <v>50106xx</v>
      </c>
      <c r="D836" s="16" t="s">
        <v>2138</v>
      </c>
    </row>
    <row r="837" spans="2:4" ht="15.75" x14ac:dyDescent="0.3">
      <c r="B837" s="14" t="s">
        <v>2139</v>
      </c>
      <c r="C837" s="15" t="str">
        <f>REPLACE(B837,1,9,"50104xx")</f>
        <v>50104xx</v>
      </c>
      <c r="D837" s="16" t="s">
        <v>2140</v>
      </c>
    </row>
    <row r="838" spans="2:4" ht="15.75" x14ac:dyDescent="0.3">
      <c r="B838" s="14" t="s">
        <v>2141</v>
      </c>
      <c r="C838" s="15" t="str">
        <f>REPLACE(B838,1,9,"50108xx")</f>
        <v>50108xx</v>
      </c>
      <c r="D838" s="16" t="s">
        <v>2142</v>
      </c>
    </row>
    <row r="839" spans="2:4" ht="15.75" x14ac:dyDescent="0.3">
      <c r="B839" s="14" t="s">
        <v>2143</v>
      </c>
      <c r="C839" s="15" t="str">
        <f>REPLACE(B839,1,9,"50107xx")</f>
        <v>50107xx</v>
      </c>
      <c r="D839" s="16" t="s">
        <v>2144</v>
      </c>
    </row>
    <row r="840" spans="2:4" ht="15.75" x14ac:dyDescent="0.3">
      <c r="B840" s="14" t="s">
        <v>2145</v>
      </c>
      <c r="C840" s="15" t="str">
        <f>REPLACE(B840,1,9,"50105xx")</f>
        <v>50105xx</v>
      </c>
      <c r="D840" s="16" t="s">
        <v>2146</v>
      </c>
    </row>
    <row r="841" spans="2:4" ht="15.75" x14ac:dyDescent="0.3">
      <c r="B841" s="14" t="s">
        <v>2147</v>
      </c>
      <c r="C841" s="15" t="str">
        <f>REPLACE(B841,1,9,"50102xx")</f>
        <v>50102xx</v>
      </c>
      <c r="D841" s="16" t="s">
        <v>2148</v>
      </c>
    </row>
    <row r="842" spans="2:4" ht="15.75" x14ac:dyDescent="0.3">
      <c r="B842" s="14" t="s">
        <v>2149</v>
      </c>
      <c r="C842" s="15" t="str">
        <f>REPLACE(B842,1,9,"50103xx")</f>
        <v>50103xx</v>
      </c>
      <c r="D842" s="16" t="s">
        <v>2150</v>
      </c>
    </row>
    <row r="843" spans="2:4" ht="15.75" x14ac:dyDescent="0.3">
      <c r="B843" s="14" t="s">
        <v>2151</v>
      </c>
      <c r="C843" s="15" t="str">
        <f>REPLACE(B843,1,9,"51601xx")</f>
        <v>51601xx</v>
      </c>
      <c r="D843" s="16" t="s">
        <v>679</v>
      </c>
    </row>
    <row r="844" spans="2:4" ht="15.75" x14ac:dyDescent="0.3">
      <c r="B844" s="14" t="s">
        <v>2152</v>
      </c>
      <c r="C844" s="15" t="str">
        <f>REPLACE(B844,1,9,"51611xx")</f>
        <v>51611xx</v>
      </c>
      <c r="D844" s="16" t="s">
        <v>681</v>
      </c>
    </row>
    <row r="845" spans="2:4" ht="15.75" x14ac:dyDescent="0.3">
      <c r="B845" s="14" t="s">
        <v>2153</v>
      </c>
      <c r="C845" s="15" t="str">
        <f>REPLACE(B845,1,9,"51011xx")</f>
        <v>51011xx</v>
      </c>
      <c r="D845" s="16" t="s">
        <v>683</v>
      </c>
    </row>
    <row r="846" spans="2:4" ht="15.75" x14ac:dyDescent="0.3">
      <c r="B846" s="14" t="s">
        <v>2154</v>
      </c>
      <c r="C846" s="15" t="str">
        <f>REPLACE(B846,1,9,"51101xx")</f>
        <v>51101xx</v>
      </c>
      <c r="D846" s="16" t="s">
        <v>2155</v>
      </c>
    </row>
    <row r="847" spans="2:4" ht="15.75" x14ac:dyDescent="0.3">
      <c r="B847" s="14" t="s">
        <v>2156</v>
      </c>
      <c r="C847" s="15" t="str">
        <f>REPLACE(B847,1,9,"51105xx")</f>
        <v>51105xx</v>
      </c>
      <c r="D847" s="16" t="s">
        <v>2157</v>
      </c>
    </row>
    <row r="848" spans="2:4" ht="15.75" x14ac:dyDescent="0.3">
      <c r="B848" s="14" t="s">
        <v>2158</v>
      </c>
      <c r="C848" s="15" t="str">
        <f>REPLACE(B848,1,9,"51106xx")</f>
        <v>51106xx</v>
      </c>
      <c r="D848" s="16" t="s">
        <v>2159</v>
      </c>
    </row>
    <row r="849" spans="2:4" ht="15.75" x14ac:dyDescent="0.3">
      <c r="B849" s="14" t="s">
        <v>2160</v>
      </c>
      <c r="C849" s="15" t="str">
        <f>REPLACE(B849,1,9,"51102xx")</f>
        <v>51102xx</v>
      </c>
      <c r="D849" s="16" t="s">
        <v>2161</v>
      </c>
    </row>
    <row r="850" spans="2:4" ht="15.75" x14ac:dyDescent="0.3">
      <c r="B850" s="14" t="s">
        <v>2162</v>
      </c>
      <c r="C850" s="15" t="str">
        <f>REPLACE(B850,1,9,"51104xx")</f>
        <v>51104xx</v>
      </c>
      <c r="D850" s="16" t="s">
        <v>2163</v>
      </c>
    </row>
    <row r="851" spans="2:4" ht="15.75" x14ac:dyDescent="0.3">
      <c r="B851" s="14" t="s">
        <v>2164</v>
      </c>
      <c r="C851" s="15" t="str">
        <f>REPLACE(B851,1,9,"51103xx")</f>
        <v>51103xx</v>
      </c>
      <c r="D851" s="16" t="s">
        <v>2165</v>
      </c>
    </row>
    <row r="852" spans="2:4" ht="15.75" x14ac:dyDescent="0.3">
      <c r="B852" s="14" t="s">
        <v>2166</v>
      </c>
      <c r="C852" s="15" t="str">
        <f>REPLACE(B852,1,9,"51021xx")</f>
        <v>51021xx</v>
      </c>
      <c r="D852" s="16" t="s">
        <v>42</v>
      </c>
    </row>
    <row r="853" spans="2:4" ht="15.75" x14ac:dyDescent="0.3">
      <c r="B853" s="14" t="s">
        <v>2167</v>
      </c>
      <c r="C853" s="15" t="str">
        <f>REPLACE(B853,1,9,"52021xx")</f>
        <v>52021xx</v>
      </c>
      <c r="D853" s="16" t="s">
        <v>43</v>
      </c>
    </row>
    <row r="854" spans="2:4" ht="15.75" x14ac:dyDescent="0.3">
      <c r="B854" s="14" t="s">
        <v>2168</v>
      </c>
      <c r="C854" s="15" t="str">
        <f>REPLACE(B854,1,9,"52602xx")</f>
        <v>52602xx</v>
      </c>
      <c r="D854" s="16" t="s">
        <v>2169</v>
      </c>
    </row>
    <row r="855" spans="2:4" ht="15.75" x14ac:dyDescent="0.3">
      <c r="B855" s="14" t="s">
        <v>2170</v>
      </c>
      <c r="C855" s="15" t="str">
        <f>REPLACE(B855,1,9,"52601xx")</f>
        <v>52601xx</v>
      </c>
      <c r="D855" s="16" t="s">
        <v>2171</v>
      </c>
    </row>
    <row r="856" spans="2:4" ht="15.75" x14ac:dyDescent="0.3">
      <c r="B856" s="14" t="s">
        <v>2172</v>
      </c>
      <c r="C856" s="15" t="str">
        <f>REPLACE(B856,1,9,"52603xx")</f>
        <v>52603xx</v>
      </c>
      <c r="D856" s="16" t="s">
        <v>2173</v>
      </c>
    </row>
    <row r="857" spans="2:4" ht="15.75" x14ac:dyDescent="0.3">
      <c r="B857" s="14" t="s">
        <v>2174</v>
      </c>
      <c r="C857" s="15" t="str">
        <f>REPLACE(B857,1,9,"52011xx")</f>
        <v>52011xx</v>
      </c>
      <c r="D857" s="16" t="s">
        <v>45</v>
      </c>
    </row>
    <row r="858" spans="2:4" ht="15.75" x14ac:dyDescent="0.3">
      <c r="B858" s="14" t="s">
        <v>2175</v>
      </c>
      <c r="C858" s="15" t="str">
        <f>REPLACE(B858,1,9,"52101xx")</f>
        <v>52101xx</v>
      </c>
      <c r="D858" s="16" t="s">
        <v>690</v>
      </c>
    </row>
    <row r="859" spans="2:4" ht="15.75" x14ac:dyDescent="0.3">
      <c r="B859" s="14" t="s">
        <v>2176</v>
      </c>
      <c r="C859" s="15" t="str">
        <f>REPLACE(B859,1,9,"52102xx")</f>
        <v>52102xx</v>
      </c>
      <c r="D859" s="16" t="s">
        <v>2177</v>
      </c>
    </row>
    <row r="860" spans="2:4" ht="15.75" x14ac:dyDescent="0.3">
      <c r="B860" s="14" t="s">
        <v>2178</v>
      </c>
      <c r="C860" s="15" t="str">
        <f>REPLACE(B860,1,9,"52111xx")</f>
        <v>52111xx</v>
      </c>
      <c r="D860" s="16" t="s">
        <v>692</v>
      </c>
    </row>
    <row r="861" spans="2:4" ht="15.75" x14ac:dyDescent="0.3">
      <c r="B861" s="14" t="s">
        <v>2179</v>
      </c>
      <c r="C861" s="15" t="str">
        <f>REPLACE(B861,1,9,"52121xx")</f>
        <v>52121xx</v>
      </c>
      <c r="D861" s="16" t="s">
        <v>2180</v>
      </c>
    </row>
    <row r="862" spans="2:4" ht="15.75" x14ac:dyDescent="0.3">
      <c r="B862" s="14" t="s">
        <v>2181</v>
      </c>
      <c r="C862" s="15" t="str">
        <f>REPLACE(B862,1,9,"52131xx")</f>
        <v>52131xx</v>
      </c>
      <c r="D862" s="16" t="s">
        <v>696</v>
      </c>
    </row>
    <row r="863" spans="2:4" ht="15.75" x14ac:dyDescent="0.3">
      <c r="B863" s="14" t="s">
        <v>2182</v>
      </c>
      <c r="C863" s="15" t="str">
        <f>REPLACE(B863,1,9,"52141xx")</f>
        <v>52141xx</v>
      </c>
      <c r="D863" s="16" t="s">
        <v>698</v>
      </c>
    </row>
    <row r="864" spans="2:4" ht="15.75" x14ac:dyDescent="0.3">
      <c r="B864" s="14" t="s">
        <v>2183</v>
      </c>
      <c r="C864" s="15" t="str">
        <f>REPLACE(B864,1,9,"52151xx")</f>
        <v>52151xx</v>
      </c>
      <c r="D864" s="16" t="s">
        <v>700</v>
      </c>
    </row>
    <row r="865" spans="2:4" ht="15.75" x14ac:dyDescent="0.3">
      <c r="B865" s="14" t="s">
        <v>2184</v>
      </c>
      <c r="C865" s="15" t="str">
        <f>REPLACE(B865,1,9,"52161xx")</f>
        <v>52161xx</v>
      </c>
      <c r="D865" s="16" t="s">
        <v>702</v>
      </c>
    </row>
    <row r="866" spans="2:4" ht="15.75" x14ac:dyDescent="0.3">
      <c r="B866" s="14" t="s">
        <v>2185</v>
      </c>
      <c r="C866" s="15" t="str">
        <f>REPLACE(B866,1,9,"52171xx")</f>
        <v>52171xx</v>
      </c>
      <c r="D866" s="16" t="s">
        <v>704</v>
      </c>
    </row>
    <row r="867" spans="2:4" ht="15.75" x14ac:dyDescent="0.3">
      <c r="B867" s="14" t="s">
        <v>2186</v>
      </c>
      <c r="C867" s="15" t="str">
        <f>REPLACE(B867,1,9,"52181xx")</f>
        <v>52181xx</v>
      </c>
      <c r="D867" s="16" t="s">
        <v>706</v>
      </c>
    </row>
    <row r="868" spans="2:4" ht="15.75" x14ac:dyDescent="0.3">
      <c r="B868" s="14" t="s">
        <v>2187</v>
      </c>
      <c r="C868" s="15" t="str">
        <f>REPLACE(B868,1,9,"54021xx")</f>
        <v>54021xx</v>
      </c>
      <c r="D868" s="16" t="s">
        <v>708</v>
      </c>
    </row>
    <row r="869" spans="2:4" ht="15.75" x14ac:dyDescent="0.3">
      <c r="B869" s="14" t="s">
        <v>2188</v>
      </c>
      <c r="C869" s="15" t="str">
        <f>REPLACE(B869,1,9,"54031xx")</f>
        <v>54031xx</v>
      </c>
      <c r="D869" s="16" t="s">
        <v>710</v>
      </c>
    </row>
    <row r="870" spans="2:4" ht="15.75" x14ac:dyDescent="0.3">
      <c r="B870" s="14" t="s">
        <v>2189</v>
      </c>
      <c r="C870" s="15" t="str">
        <f>REPLACE(B870,1,9,"54041xx")</f>
        <v>54041xx</v>
      </c>
      <c r="D870" s="16" t="s">
        <v>712</v>
      </c>
    </row>
    <row r="871" spans="2:4" ht="15.75" x14ac:dyDescent="0.3">
      <c r="B871" s="14" t="s">
        <v>2190</v>
      </c>
      <c r="C871" s="15" t="str">
        <f>REPLACE(B871,1,9,"54051xx")</f>
        <v>54051xx</v>
      </c>
      <c r="D871" s="16" t="s">
        <v>714</v>
      </c>
    </row>
    <row r="872" spans="2:4" ht="15.75" x14ac:dyDescent="0.3">
      <c r="B872" s="14" t="s">
        <v>2191</v>
      </c>
      <c r="C872" s="15" t="str">
        <f>REPLACE(B872,1,9,"54061xx")</f>
        <v>54061xx</v>
      </c>
      <c r="D872" s="16" t="s">
        <v>716</v>
      </c>
    </row>
    <row r="873" spans="2:4" ht="15.75" x14ac:dyDescent="0.3">
      <c r="B873" s="14" t="s">
        <v>2192</v>
      </c>
      <c r="C873" s="15" t="str">
        <f>REPLACE(B873,1,9,"54602xx")</f>
        <v>54602xx</v>
      </c>
      <c r="D873" s="16" t="s">
        <v>2193</v>
      </c>
    </row>
    <row r="874" spans="2:4" ht="15.75" x14ac:dyDescent="0.3">
      <c r="B874" s="14" t="s">
        <v>2194</v>
      </c>
      <c r="C874" s="15" t="str">
        <f>REPLACE(B874,1,9,"54601xx")</f>
        <v>54601xx</v>
      </c>
      <c r="D874" s="16" t="s">
        <v>718</v>
      </c>
    </row>
    <row r="875" spans="2:4" ht="15.75" x14ac:dyDescent="0.3">
      <c r="B875" s="14" t="s">
        <v>2195</v>
      </c>
      <c r="C875" s="15" t="str">
        <f>REPLACE(B875,1,9,"54611xx")</f>
        <v>54611xx</v>
      </c>
      <c r="D875" s="16" t="s">
        <v>720</v>
      </c>
    </row>
    <row r="876" spans="2:4" ht="15.75" x14ac:dyDescent="0.3">
      <c r="B876" s="14" t="s">
        <v>2196</v>
      </c>
      <c r="C876" s="15" t="str">
        <f>REPLACE(B876,1,9,"54011xx")</f>
        <v>54011xx</v>
      </c>
      <c r="D876" s="16" t="s">
        <v>722</v>
      </c>
    </row>
    <row r="877" spans="2:4" ht="15.75" x14ac:dyDescent="0.3">
      <c r="B877" s="14" t="s">
        <v>2197</v>
      </c>
      <c r="C877" s="15" t="str">
        <f>REPLACE(B877,1,9,"54101xx")</f>
        <v>54101xx</v>
      </c>
      <c r="D877" s="16" t="s">
        <v>2198</v>
      </c>
    </row>
    <row r="878" spans="2:4" ht="15.75" x14ac:dyDescent="0.3">
      <c r="B878" s="14" t="s">
        <v>2199</v>
      </c>
      <c r="C878" s="15" t="str">
        <f>REPLACE(B878,1,9,"54102xx")</f>
        <v>54102xx</v>
      </c>
      <c r="D878" s="16" t="s">
        <v>2200</v>
      </c>
    </row>
    <row r="879" spans="2:4" ht="15.75" x14ac:dyDescent="0.3">
      <c r="B879" s="14" t="s">
        <v>2201</v>
      </c>
      <c r="C879" s="15" t="str">
        <f>REPLACE(B879,1,9,"55021xx")</f>
        <v>55021xx</v>
      </c>
      <c r="D879" s="16" t="s">
        <v>726</v>
      </c>
    </row>
    <row r="880" spans="2:4" ht="15.75" x14ac:dyDescent="0.3">
      <c r="B880" s="14" t="s">
        <v>2202</v>
      </c>
      <c r="C880" s="15" t="str">
        <f>REPLACE(B880,1,9,"55601xx")</f>
        <v>55601xx</v>
      </c>
      <c r="D880" s="16" t="s">
        <v>728</v>
      </c>
    </row>
    <row r="881" spans="2:4" ht="15.75" x14ac:dyDescent="0.3">
      <c r="B881" s="14" t="s">
        <v>2203</v>
      </c>
      <c r="C881" s="15" t="str">
        <f>REPLACE(B881,1,9,"55011xx")</f>
        <v>55011xx</v>
      </c>
      <c r="D881" s="16" t="s">
        <v>46</v>
      </c>
    </row>
    <row r="882" spans="2:4" ht="15.75" x14ac:dyDescent="0.3">
      <c r="B882" s="14" t="s">
        <v>2204</v>
      </c>
      <c r="C882" s="15" t="str">
        <f>REPLACE(B882,1,9,"55301xx")</f>
        <v>55301xx</v>
      </c>
      <c r="D882" s="16" t="s">
        <v>47</v>
      </c>
    </row>
    <row r="883" spans="2:4" ht="15.75" x14ac:dyDescent="0.3">
      <c r="B883" s="14" t="s">
        <v>2205</v>
      </c>
      <c r="C883" s="15" t="str">
        <f>REPLACE(B883,1,9,"55101xx")</f>
        <v>55101xx</v>
      </c>
      <c r="D883" s="16" t="s">
        <v>732</v>
      </c>
    </row>
    <row r="884" spans="2:4" ht="15.75" x14ac:dyDescent="0.3">
      <c r="B884" s="14" t="s">
        <v>2206</v>
      </c>
      <c r="C884" s="15" t="str">
        <f>REPLACE(B884,1,9,"56021xx")</f>
        <v>56021xx</v>
      </c>
      <c r="D884" s="16" t="s">
        <v>734</v>
      </c>
    </row>
    <row r="885" spans="2:4" ht="15.75" x14ac:dyDescent="0.3">
      <c r="B885" s="14" t="s">
        <v>2207</v>
      </c>
      <c r="C885" s="15" t="str">
        <f>REPLACE(B885,1,9,"56601xx")</f>
        <v>56601xx</v>
      </c>
      <c r="D885" s="16" t="s">
        <v>736</v>
      </c>
    </row>
    <row r="886" spans="2:4" ht="15.75" x14ac:dyDescent="0.3">
      <c r="B886" s="14" t="s">
        <v>2208</v>
      </c>
      <c r="C886" s="15" t="str">
        <f>REPLACE(B886,1,9,"56611xx")</f>
        <v>56611xx</v>
      </c>
      <c r="D886" s="16" t="s">
        <v>738</v>
      </c>
    </row>
    <row r="887" spans="2:4" ht="15.75" x14ac:dyDescent="0.3">
      <c r="B887" s="14" t="s">
        <v>2209</v>
      </c>
      <c r="C887" s="15" t="str">
        <f>REPLACE(B887,1,9,"56621xx")</f>
        <v>56621xx</v>
      </c>
      <c r="D887" s="16" t="s">
        <v>740</v>
      </c>
    </row>
    <row r="888" spans="2:4" ht="15.75" x14ac:dyDescent="0.3">
      <c r="B888" s="14" t="s">
        <v>2210</v>
      </c>
      <c r="C888" s="15" t="str">
        <f>REPLACE(B888,1,9,"56631xx")</f>
        <v>56631xx</v>
      </c>
      <c r="D888" s="16" t="s">
        <v>742</v>
      </c>
    </row>
    <row r="889" spans="2:4" ht="15.75" x14ac:dyDescent="0.3">
      <c r="B889" s="14" t="s">
        <v>2211</v>
      </c>
      <c r="C889" s="15" t="str">
        <f>REPLACE(B889,1,9,"56641xx")</f>
        <v>56641xx</v>
      </c>
      <c r="D889" s="16" t="s">
        <v>744</v>
      </c>
    </row>
    <row r="890" spans="2:4" ht="15.75" x14ac:dyDescent="0.3">
      <c r="B890" s="14" t="s">
        <v>2212</v>
      </c>
      <c r="C890" s="15" t="str">
        <f>REPLACE(B890,1,9,"56011xx")</f>
        <v>56011xx</v>
      </c>
      <c r="D890" s="16" t="s">
        <v>48</v>
      </c>
    </row>
    <row r="891" spans="2:4" ht="15.75" x14ac:dyDescent="0.3">
      <c r="B891" s="14" t="s">
        <v>2213</v>
      </c>
      <c r="C891" s="15" t="str">
        <f>REPLACE(B891,1,9,"56101xx")</f>
        <v>56101xx</v>
      </c>
      <c r="D891" s="16" t="s">
        <v>2214</v>
      </c>
    </row>
    <row r="892" spans="2:4" ht="15.75" x14ac:dyDescent="0.3">
      <c r="B892" s="14" t="s">
        <v>2215</v>
      </c>
      <c r="C892" s="15" t="str">
        <f>REPLACE(B892,1,9,"57021xx")</f>
        <v>57021xx</v>
      </c>
      <c r="D892" s="16" t="s">
        <v>749</v>
      </c>
    </row>
    <row r="893" spans="2:4" ht="15.75" x14ac:dyDescent="0.3">
      <c r="B893" s="14" t="s">
        <v>2216</v>
      </c>
      <c r="C893" s="15" t="str">
        <f>REPLACE(B893,1,9,"57031xx")</f>
        <v>57031xx</v>
      </c>
      <c r="D893" s="16" t="s">
        <v>751</v>
      </c>
    </row>
    <row r="894" spans="2:4" ht="15.75" x14ac:dyDescent="0.3">
      <c r="B894" s="14" t="s">
        <v>2217</v>
      </c>
      <c r="C894" s="15" t="str">
        <f>REPLACE(B894,1,9,"57041xx")</f>
        <v>57041xx</v>
      </c>
      <c r="D894" s="16" t="s">
        <v>753</v>
      </c>
    </row>
    <row r="895" spans="2:4" ht="15.75" x14ac:dyDescent="0.3">
      <c r="B895" s="14" t="s">
        <v>2218</v>
      </c>
      <c r="C895" s="15" t="str">
        <f>REPLACE(B895,1,9,"57051xx")</f>
        <v>57051xx</v>
      </c>
      <c r="D895" s="16" t="s">
        <v>755</v>
      </c>
    </row>
    <row r="896" spans="2:4" ht="15.75" x14ac:dyDescent="0.3">
      <c r="B896" s="14" t="s">
        <v>2219</v>
      </c>
      <c r="C896" s="15" t="str">
        <f>REPLACE(B896,1,9,"57061xx")</f>
        <v>57061xx</v>
      </c>
      <c r="D896" s="16" t="s">
        <v>757</v>
      </c>
    </row>
    <row r="897" spans="2:4" ht="15.75" x14ac:dyDescent="0.3">
      <c r="B897" s="14" t="s">
        <v>2220</v>
      </c>
      <c r="C897" s="15" t="str">
        <f>REPLACE(B897,1,9,"57071xx")</f>
        <v>57071xx</v>
      </c>
      <c r="D897" s="16" t="s">
        <v>759</v>
      </c>
    </row>
    <row r="898" spans="2:4" ht="15.75" x14ac:dyDescent="0.3">
      <c r="B898" s="14" t="s">
        <v>2221</v>
      </c>
      <c r="C898" s="15" t="str">
        <f>REPLACE(B898,1,9,"57081xx")</f>
        <v>57081xx</v>
      </c>
      <c r="D898" s="16" t="s">
        <v>761</v>
      </c>
    </row>
    <row r="899" spans="2:4" ht="15.75" x14ac:dyDescent="0.3">
      <c r="B899" s="14" t="s">
        <v>2222</v>
      </c>
      <c r="C899" s="15" t="str">
        <f>REPLACE(B899,1,9,"57011xx")</f>
        <v>57011xx</v>
      </c>
      <c r="D899" s="16" t="s">
        <v>49</v>
      </c>
    </row>
    <row r="900" spans="2:4" ht="15.75" x14ac:dyDescent="0.3">
      <c r="B900" s="14" t="s">
        <v>2223</v>
      </c>
      <c r="C900" s="15" t="str">
        <f>REPLACE(B900,1,9,"57101xx")</f>
        <v>57101xx</v>
      </c>
      <c r="D900" s="16" t="s">
        <v>50</v>
      </c>
    </row>
    <row r="901" spans="2:4" ht="15.75" x14ac:dyDescent="0.3">
      <c r="B901" s="14" t="s">
        <v>2224</v>
      </c>
      <c r="C901" s="15" t="str">
        <f>REPLACE(B901,1,9,"57112xx")</f>
        <v>57112xx</v>
      </c>
      <c r="D901" s="16" t="s">
        <v>2225</v>
      </c>
    </row>
    <row r="902" spans="2:4" ht="15.75" x14ac:dyDescent="0.3">
      <c r="B902" s="14" t="s">
        <v>2226</v>
      </c>
      <c r="C902" s="15" t="str">
        <f>REPLACE(B902,1,9,"57110xx")</f>
        <v>57110xx</v>
      </c>
      <c r="D902" s="16" t="s">
        <v>2227</v>
      </c>
    </row>
    <row r="903" spans="2:4" ht="15.75" x14ac:dyDescent="0.3">
      <c r="B903" s="14" t="s">
        <v>2228</v>
      </c>
      <c r="C903" s="15" t="str">
        <f>REPLACE(B903,1,9,"57601xx")</f>
        <v>57601xx</v>
      </c>
      <c r="D903" s="16" t="s">
        <v>767</v>
      </c>
    </row>
    <row r="904" spans="2:4" ht="15.75" x14ac:dyDescent="0.3">
      <c r="B904" s="14" t="s">
        <v>2229</v>
      </c>
      <c r="C904" s="15" t="str">
        <f>REPLACE(B904,1,9,"57611xx")</f>
        <v>57611xx</v>
      </c>
      <c r="D904" s="16" t="s">
        <v>769</v>
      </c>
    </row>
    <row r="905" spans="2:4" ht="15.75" x14ac:dyDescent="0.3">
      <c r="B905" s="14" t="s">
        <v>2230</v>
      </c>
      <c r="C905" s="15" t="str">
        <f>REPLACE(B905,1,9,"57621xx")</f>
        <v>57621xx</v>
      </c>
      <c r="D905" s="16" t="s">
        <v>771</v>
      </c>
    </row>
    <row r="906" spans="2:4" ht="16.5" thickBot="1" x14ac:dyDescent="0.35">
      <c r="B906" s="17" t="s">
        <v>2231</v>
      </c>
      <c r="C906" s="18" t="str">
        <f>REPLACE(B906,1,9,"57631xx")</f>
        <v>57631xx</v>
      </c>
      <c r="D906" s="19" t="s">
        <v>773</v>
      </c>
    </row>
  </sheetData>
  <autoFilter ref="B25:D906"/>
  <mergeCells count="15">
    <mergeCell ref="A11:G11"/>
    <mergeCell ref="A13:G13"/>
    <mergeCell ref="A14:G14"/>
    <mergeCell ref="A16:G16"/>
    <mergeCell ref="A1:G1"/>
    <mergeCell ref="A4:G4"/>
    <mergeCell ref="A6:G6"/>
    <mergeCell ref="A7:G7"/>
    <mergeCell ref="A8:G8"/>
    <mergeCell ref="A10:G10"/>
    <mergeCell ref="A19:G19"/>
    <mergeCell ref="A20:G20"/>
    <mergeCell ref="A22:G22"/>
    <mergeCell ref="A23:G23"/>
    <mergeCell ref="A17:G17"/>
  </mergeCells>
  <conditionalFormatting sqref="B25:C25">
    <cfRule type="duplicateValues" dxfId="2" priority="3"/>
  </conditionalFormatting>
  <conditionalFormatting sqref="B25:C25">
    <cfRule type="duplicateValues" dxfId="1" priority="1"/>
    <cfRule type="duplicateValues" dxfId="0" priority="2"/>
  </conditionalFormatting>
  <pageMargins left="0.2" right="0.2" top="0.75" bottom="0.75" header="0.3" footer="0.3"/>
  <pageSetup orientation="portrait" r:id="rId1"/>
  <ignoredErrors>
    <ignoredError sqref="C78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Level 1-7</vt:lpstr>
      <vt:lpstr>Level 7</vt:lpstr>
      <vt:lpstr>Level7</vt:lpstr>
    </vt:vector>
  </TitlesOfParts>
  <Company>N.A.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N.A.</dc:creator>
  <cp:lastModifiedBy>Ursula Bollini</cp:lastModifiedBy>
  <cp:lastPrinted>2012-09-06T22:07:39Z</cp:lastPrinted>
  <dcterms:created xsi:type="dcterms:W3CDTF">2012-09-05T19:16:28Z</dcterms:created>
  <dcterms:modified xsi:type="dcterms:W3CDTF">2012-11-30T22:17:39Z</dcterms:modified>
</cp:coreProperties>
</file>